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C:\PJ\VZ\2021\27_Běchovice_Náměstí\08_ZD_09_2022\"/>
    </mc:Choice>
  </mc:AlternateContent>
  <xr:revisionPtr revIDLastSave="0" documentId="13_ncr:1_{7060EF1D-1462-4986-8604-F2AA89A26A6C}" xr6:coauthVersionLast="47" xr6:coauthVersionMax="47" xr10:uidLastSave="{00000000-0000-0000-0000-000000000000}"/>
  <bookViews>
    <workbookView xWindow="-108" yWindow="-108" windowWidth="23256" windowHeight="12456" tabRatio="950" xr2:uid="{00000000-000D-0000-FFFF-FFFF00000000}"/>
  </bookViews>
  <sheets>
    <sheet name="Rekapitulace" sheetId="10" r:id="rId1"/>
    <sheet name="SO 001 (HTU)" sheetId="2" r:id="rId2"/>
    <sheet name="SO 101" sheetId="13" r:id="rId3"/>
    <sheet name="SO101-seznam figur" sheetId="12" r:id="rId4"/>
    <sheet name="SO 301" sheetId="3" r:id="rId5"/>
    <sheet name="SO 302" sheetId="4" r:id="rId6"/>
    <sheet name="SO 401" sheetId="6" r:id="rId7"/>
    <sheet name="SO 402" sheetId="7" r:id="rId8"/>
    <sheet name="SO 403" sheetId="20" r:id="rId9"/>
    <sheet name="SO 701" sheetId="1" r:id="rId10"/>
    <sheet name="SO 702-technologie" sheetId="14" r:id="rId11"/>
    <sheet name="SO 702-elektroinstalace" sheetId="17" r:id="rId12"/>
    <sheet name="SO 703" sheetId="8" r:id="rId13"/>
    <sheet name="SO 801" sheetId="19" r:id="rId14"/>
    <sheet name="SO 101-pokyny pro vyplnění" sheetId="11" r:id="rId15"/>
    <sheet name="Příloha č. 1" sheetId="9" r:id="rId16"/>
  </sheets>
  <externalReferences>
    <externalReference r:id="rId17"/>
    <externalReference r:id="rId18"/>
  </externalReferences>
  <definedNames>
    <definedName name="_xlnm.Print_Titles" localSheetId="1">'SO 001 (HTU)'!$22:$22</definedName>
    <definedName name="_xlnm.Print_Titles" localSheetId="2">'SO 101'!$91:$91</definedName>
    <definedName name="_xlnm.Print_Titles" localSheetId="4">'SO 301'!$23:$23</definedName>
    <definedName name="_xlnm.Print_Titles" localSheetId="5">'SO 302'!$23:$23</definedName>
    <definedName name="_xlnm.Print_Titles" localSheetId="6">'SO 401'!$23:$23</definedName>
    <definedName name="_xlnm.Print_Titles" localSheetId="7">'SO 402'!$22:$22</definedName>
    <definedName name="_xlnm.Print_Titles" localSheetId="8">'SO 403'!$21:$21</definedName>
    <definedName name="_xlnm.Print_Titles" localSheetId="9">'SO 701'!$22:$22</definedName>
    <definedName name="_xlnm.Print_Titles" localSheetId="11">'SO 702-elektroinstalace'!$4:$4</definedName>
    <definedName name="_xlnm.Print_Titles" localSheetId="10">'SO 702-technologie'!$4:$4</definedName>
    <definedName name="_xlnm.Print_Titles" localSheetId="12">'SO 703'!$23:$23</definedName>
    <definedName name="_xlnm.Print_Titles" localSheetId="13">'SO 801'!$8:$8</definedName>
    <definedName name="_xlnm.Print_Titles" localSheetId="3">'SO101-seznam figur'!$9:$9</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K257" i="13" l="1"/>
  <c r="G91" i="4"/>
  <c r="G153" i="3"/>
  <c r="G103" i="3"/>
  <c r="G102" i="3"/>
  <c r="G101" i="3"/>
  <c r="G100" i="3"/>
  <c r="G99" i="3"/>
  <c r="E115" i="2"/>
  <c r="D7" i="12"/>
  <c r="BK894" i="13"/>
  <c r="BI894" i="13"/>
  <c r="BH894" i="13"/>
  <c r="BG894" i="13"/>
  <c r="BF894" i="13"/>
  <c r="T894" i="13"/>
  <c r="R894" i="13"/>
  <c r="P894" i="13"/>
  <c r="J894" i="13"/>
  <c r="BE894" i="13"/>
  <c r="BK889" i="13"/>
  <c r="BI889" i="13"/>
  <c r="BH889" i="13"/>
  <c r="BG889" i="13"/>
  <c r="BF889" i="13"/>
  <c r="T889" i="13"/>
  <c r="R889" i="13"/>
  <c r="P889" i="13"/>
  <c r="J889" i="13"/>
  <c r="BE889" i="13" s="1"/>
  <c r="BK885" i="13"/>
  <c r="BI885" i="13"/>
  <c r="BH885" i="13"/>
  <c r="BG885" i="13"/>
  <c r="BF885" i="13"/>
  <c r="T885" i="13"/>
  <c r="T884" i="13" s="1"/>
  <c r="R885" i="13"/>
  <c r="R884" i="13"/>
  <c r="P885" i="13"/>
  <c r="P884" i="13" s="1"/>
  <c r="J885" i="13"/>
  <c r="BE885" i="13"/>
  <c r="BK883" i="13"/>
  <c r="BI883" i="13"/>
  <c r="BH883" i="13"/>
  <c r="BG883" i="13"/>
  <c r="BF883" i="13"/>
  <c r="T883" i="13"/>
  <c r="R883" i="13"/>
  <c r="P883" i="13"/>
  <c r="J883" i="13"/>
  <c r="BE883" i="13" s="1"/>
  <c r="BK879" i="13"/>
  <c r="BI879" i="13"/>
  <c r="BH879" i="13"/>
  <c r="BG879" i="13"/>
  <c r="BF879" i="13"/>
  <c r="T879" i="13"/>
  <c r="R879" i="13"/>
  <c r="P879" i="13"/>
  <c r="J879" i="13"/>
  <c r="BE879" i="13"/>
  <c r="BK875" i="13"/>
  <c r="BI875" i="13"/>
  <c r="BH875" i="13"/>
  <c r="BG875" i="13"/>
  <c r="BF875" i="13"/>
  <c r="T875" i="13"/>
  <c r="T874" i="13"/>
  <c r="T873" i="13"/>
  <c r="R875" i="13"/>
  <c r="P875" i="13"/>
  <c r="P874" i="13"/>
  <c r="P873" i="13" s="1"/>
  <c r="J875" i="13"/>
  <c r="BE875" i="13" s="1"/>
  <c r="R874" i="13"/>
  <c r="R873" i="13" s="1"/>
  <c r="BK872" i="13"/>
  <c r="BK871" i="13" s="1"/>
  <c r="J871" i="13" s="1"/>
  <c r="J69" i="13" s="1"/>
  <c r="BI872" i="13"/>
  <c r="BH872" i="13"/>
  <c r="BG872" i="13"/>
  <c r="BF872" i="13"/>
  <c r="T872" i="13"/>
  <c r="T871" i="13"/>
  <c r="R872" i="13"/>
  <c r="P872" i="13"/>
  <c r="P871" i="13" s="1"/>
  <c r="J872" i="13"/>
  <c r="BE872" i="13" s="1"/>
  <c r="R871" i="13"/>
  <c r="BK868" i="13"/>
  <c r="BI868" i="13"/>
  <c r="BH868" i="13"/>
  <c r="BG868" i="13"/>
  <c r="BF868" i="13"/>
  <c r="T868" i="13"/>
  <c r="R868" i="13"/>
  <c r="P868" i="13"/>
  <c r="J868" i="13"/>
  <c r="BE868" i="13"/>
  <c r="BK863" i="13"/>
  <c r="BI863" i="13"/>
  <c r="BH863" i="13"/>
  <c r="BG863" i="13"/>
  <c r="BF863" i="13"/>
  <c r="T863" i="13"/>
  <c r="R863" i="13"/>
  <c r="P863" i="13"/>
  <c r="J863" i="13"/>
  <c r="BE863" i="13" s="1"/>
  <c r="BK859" i="13"/>
  <c r="BI859" i="13"/>
  <c r="BH859" i="13"/>
  <c r="BG859" i="13"/>
  <c r="BF859" i="13"/>
  <c r="T859" i="13"/>
  <c r="R859" i="13"/>
  <c r="P859" i="13"/>
  <c r="J859" i="13"/>
  <c r="BE859" i="13" s="1"/>
  <c r="BK855" i="13"/>
  <c r="BI855" i="13"/>
  <c r="BH855" i="13"/>
  <c r="BG855" i="13"/>
  <c r="BF855" i="13"/>
  <c r="T855" i="13"/>
  <c r="R855" i="13"/>
  <c r="P855" i="13"/>
  <c r="J855" i="13"/>
  <c r="BE855" i="13" s="1"/>
  <c r="BK851" i="13"/>
  <c r="BI851" i="13"/>
  <c r="BH851" i="13"/>
  <c r="BG851" i="13"/>
  <c r="BF851" i="13"/>
  <c r="T851" i="13"/>
  <c r="R851" i="13"/>
  <c r="P851" i="13"/>
  <c r="J851" i="13"/>
  <c r="BE851" i="13"/>
  <c r="BK846" i="13"/>
  <c r="BI846" i="13"/>
  <c r="BH846" i="13"/>
  <c r="BG846" i="13"/>
  <c r="BF846" i="13"/>
  <c r="T846" i="13"/>
  <c r="R846" i="13"/>
  <c r="P846" i="13"/>
  <c r="J846" i="13"/>
  <c r="BE846" i="13" s="1"/>
  <c r="BK841" i="13"/>
  <c r="BI841" i="13"/>
  <c r="BH841" i="13"/>
  <c r="BG841" i="13"/>
  <c r="BF841" i="13"/>
  <c r="T841" i="13"/>
  <c r="R841" i="13"/>
  <c r="P841" i="13"/>
  <c r="J841" i="13"/>
  <c r="BE841" i="13" s="1"/>
  <c r="BK836" i="13"/>
  <c r="BI836" i="13"/>
  <c r="BH836" i="13"/>
  <c r="BG836" i="13"/>
  <c r="BF836" i="13"/>
  <c r="T836" i="13"/>
  <c r="R836" i="13"/>
  <c r="P836" i="13"/>
  <c r="J836" i="13"/>
  <c r="BE836" i="13"/>
  <c r="BK820" i="13"/>
  <c r="BI820" i="13"/>
  <c r="BH820" i="13"/>
  <c r="BG820" i="13"/>
  <c r="BF820" i="13"/>
  <c r="T820" i="13"/>
  <c r="R820" i="13"/>
  <c r="P820" i="13"/>
  <c r="J820" i="13"/>
  <c r="BE820" i="13" s="1"/>
  <c r="BK818" i="13"/>
  <c r="BI818" i="13"/>
  <c r="BH818" i="13"/>
  <c r="BG818" i="13"/>
  <c r="BF818" i="13"/>
  <c r="T818" i="13"/>
  <c r="R818" i="13"/>
  <c r="P818" i="13"/>
  <c r="J818" i="13"/>
  <c r="BE818" i="13" s="1"/>
  <c r="BK816" i="13"/>
  <c r="BI816" i="13"/>
  <c r="BH816" i="13"/>
  <c r="BG816" i="13"/>
  <c r="BF816" i="13"/>
  <c r="T816" i="13"/>
  <c r="R816" i="13"/>
  <c r="P816" i="13"/>
  <c r="J816" i="13"/>
  <c r="BE816" i="13" s="1"/>
  <c r="BK814" i="13"/>
  <c r="BI814" i="13"/>
  <c r="BH814" i="13"/>
  <c r="BG814" i="13"/>
  <c r="BF814" i="13"/>
  <c r="T814" i="13"/>
  <c r="R814" i="13"/>
  <c r="P814" i="13"/>
  <c r="J814" i="13"/>
  <c r="BE814" i="13" s="1"/>
  <c r="BK812" i="13"/>
  <c r="BI812" i="13"/>
  <c r="BH812" i="13"/>
  <c r="BG812" i="13"/>
  <c r="BF812" i="13"/>
  <c r="T812" i="13"/>
  <c r="R812" i="13"/>
  <c r="P812" i="13"/>
  <c r="J812" i="13"/>
  <c r="BE812" i="13"/>
  <c r="BK806" i="13"/>
  <c r="BI806" i="13"/>
  <c r="BH806" i="13"/>
  <c r="BG806" i="13"/>
  <c r="BF806" i="13"/>
  <c r="T806" i="13"/>
  <c r="R806" i="13"/>
  <c r="P806" i="13"/>
  <c r="J806" i="13"/>
  <c r="BE806" i="13" s="1"/>
  <c r="BK801" i="13"/>
  <c r="BI801" i="13"/>
  <c r="BH801" i="13"/>
  <c r="BG801" i="13"/>
  <c r="BF801" i="13"/>
  <c r="T801" i="13"/>
  <c r="R801" i="13"/>
  <c r="P801" i="13"/>
  <c r="J801" i="13"/>
  <c r="BE801" i="13" s="1"/>
  <c r="BK796" i="13"/>
  <c r="BI796" i="13"/>
  <c r="BH796" i="13"/>
  <c r="BG796" i="13"/>
  <c r="BF796" i="13"/>
  <c r="T796" i="13"/>
  <c r="R796" i="13"/>
  <c r="P796" i="13"/>
  <c r="J796" i="13"/>
  <c r="BE796" i="13"/>
  <c r="BK763" i="13"/>
  <c r="BI763" i="13"/>
  <c r="BH763" i="13"/>
  <c r="BG763" i="13"/>
  <c r="BF763" i="13"/>
  <c r="T763" i="13"/>
  <c r="R763" i="13"/>
  <c r="P763" i="13"/>
  <c r="J763" i="13"/>
  <c r="BE763" i="13" s="1"/>
  <c r="BK756" i="13"/>
  <c r="BI756" i="13"/>
  <c r="BH756" i="13"/>
  <c r="BG756" i="13"/>
  <c r="BF756" i="13"/>
  <c r="T756" i="13"/>
  <c r="R756" i="13"/>
  <c r="P756" i="13"/>
  <c r="J756" i="13"/>
  <c r="BE756" i="13" s="1"/>
  <c r="BK753" i="13"/>
  <c r="BI753" i="13"/>
  <c r="BH753" i="13"/>
  <c r="BG753" i="13"/>
  <c r="BF753" i="13"/>
  <c r="T753" i="13"/>
  <c r="R753" i="13"/>
  <c r="P753" i="13"/>
  <c r="J753" i="13"/>
  <c r="BE753" i="13" s="1"/>
  <c r="BK750" i="13"/>
  <c r="BI750" i="13"/>
  <c r="BH750" i="13"/>
  <c r="BG750" i="13"/>
  <c r="BF750" i="13"/>
  <c r="T750" i="13"/>
  <c r="R750" i="13"/>
  <c r="P750" i="13"/>
  <c r="J750" i="13"/>
  <c r="BE750" i="13" s="1"/>
  <c r="BK743" i="13"/>
  <c r="BI743" i="13"/>
  <c r="BH743" i="13"/>
  <c r="BG743" i="13"/>
  <c r="BF743" i="13"/>
  <c r="T743" i="13"/>
  <c r="R743" i="13"/>
  <c r="P743" i="13"/>
  <c r="J743" i="13"/>
  <c r="BE743" i="13"/>
  <c r="BK741" i="13"/>
  <c r="BI741" i="13"/>
  <c r="BH741" i="13"/>
  <c r="BG741" i="13"/>
  <c r="BF741" i="13"/>
  <c r="T741" i="13"/>
  <c r="R741" i="13"/>
  <c r="P741" i="13"/>
  <c r="J741" i="13"/>
  <c r="BE741" i="13" s="1"/>
  <c r="BK737" i="13"/>
  <c r="BI737" i="13"/>
  <c r="BH737" i="13"/>
  <c r="BG737" i="13"/>
  <c r="BF737" i="13"/>
  <c r="T737" i="13"/>
  <c r="R737" i="13"/>
  <c r="P737" i="13"/>
  <c r="J737" i="13"/>
  <c r="BE737" i="13" s="1"/>
  <c r="BK735" i="13"/>
  <c r="BI735" i="13"/>
  <c r="BH735" i="13"/>
  <c r="BG735" i="13"/>
  <c r="BF735" i="13"/>
  <c r="T735" i="13"/>
  <c r="R735" i="13"/>
  <c r="P735" i="13"/>
  <c r="J735" i="13"/>
  <c r="BE735" i="13"/>
  <c r="BK731" i="13"/>
  <c r="BI731" i="13"/>
  <c r="BH731" i="13"/>
  <c r="BG731" i="13"/>
  <c r="BF731" i="13"/>
  <c r="T731" i="13"/>
  <c r="R731" i="13"/>
  <c r="P731" i="13"/>
  <c r="J731" i="13"/>
  <c r="BE731" i="13" s="1"/>
  <c r="BK729" i="13"/>
  <c r="BI729" i="13"/>
  <c r="BH729" i="13"/>
  <c r="BG729" i="13"/>
  <c r="BF729" i="13"/>
  <c r="T729" i="13"/>
  <c r="R729" i="13"/>
  <c r="P729" i="13"/>
  <c r="J729" i="13"/>
  <c r="BE729" i="13"/>
  <c r="BK727" i="13"/>
  <c r="BI727" i="13"/>
  <c r="BH727" i="13"/>
  <c r="BG727" i="13"/>
  <c r="BF727" i="13"/>
  <c r="T727" i="13"/>
  <c r="R727" i="13"/>
  <c r="P727" i="13"/>
  <c r="J727" i="13"/>
  <c r="BE727" i="13" s="1"/>
  <c r="BK719" i="13"/>
  <c r="BI719" i="13"/>
  <c r="BH719" i="13"/>
  <c r="BG719" i="13"/>
  <c r="BF719" i="13"/>
  <c r="T719" i="13"/>
  <c r="R719" i="13"/>
  <c r="P719" i="13"/>
  <c r="J719" i="13"/>
  <c r="BE719" i="13"/>
  <c r="BK717" i="13"/>
  <c r="BI717" i="13"/>
  <c r="BH717" i="13"/>
  <c r="BG717" i="13"/>
  <c r="BF717" i="13"/>
  <c r="T717" i="13"/>
  <c r="R717" i="13"/>
  <c r="P717" i="13"/>
  <c r="J717" i="13"/>
  <c r="BE717" i="13"/>
  <c r="BK712" i="13"/>
  <c r="BI712" i="13"/>
  <c r="BH712" i="13"/>
  <c r="BG712" i="13"/>
  <c r="BF712" i="13"/>
  <c r="T712" i="13"/>
  <c r="R712" i="13"/>
  <c r="P712" i="13"/>
  <c r="J712" i="13"/>
  <c r="BE712" i="13"/>
  <c r="BK709" i="13"/>
  <c r="BI709" i="13"/>
  <c r="BH709" i="13"/>
  <c r="BG709" i="13"/>
  <c r="BF709" i="13"/>
  <c r="T709" i="13"/>
  <c r="R709" i="13"/>
  <c r="P709" i="13"/>
  <c r="J709" i="13"/>
  <c r="BE709" i="13" s="1"/>
  <c r="BK706" i="13"/>
  <c r="BI706" i="13"/>
  <c r="BH706" i="13"/>
  <c r="BG706" i="13"/>
  <c r="BF706" i="13"/>
  <c r="T706" i="13"/>
  <c r="R706" i="13"/>
  <c r="P706" i="13"/>
  <c r="J706" i="13"/>
  <c r="BE706" i="13" s="1"/>
  <c r="BK703" i="13"/>
  <c r="BI703" i="13"/>
  <c r="BH703" i="13"/>
  <c r="BG703" i="13"/>
  <c r="BF703" i="13"/>
  <c r="T703" i="13"/>
  <c r="R703" i="13"/>
  <c r="P703" i="13"/>
  <c r="J703" i="13"/>
  <c r="BE703" i="13"/>
  <c r="BK697" i="13"/>
  <c r="BI697" i="13"/>
  <c r="BH697" i="13"/>
  <c r="BG697" i="13"/>
  <c r="BF697" i="13"/>
  <c r="T697" i="13"/>
  <c r="R697" i="13"/>
  <c r="P697" i="13"/>
  <c r="J697" i="13"/>
  <c r="BE697" i="13" s="1"/>
  <c r="BK695" i="13"/>
  <c r="BI695" i="13"/>
  <c r="BH695" i="13"/>
  <c r="BG695" i="13"/>
  <c r="BF695" i="13"/>
  <c r="T695" i="13"/>
  <c r="R695" i="13"/>
  <c r="P695" i="13"/>
  <c r="J695" i="13"/>
  <c r="BE695" i="13" s="1"/>
  <c r="BK689" i="13"/>
  <c r="BI689" i="13"/>
  <c r="BH689" i="13"/>
  <c r="BG689" i="13"/>
  <c r="BF689" i="13"/>
  <c r="T689" i="13"/>
  <c r="R689" i="13"/>
  <c r="P689" i="13"/>
  <c r="J689" i="13"/>
  <c r="BE689" i="13" s="1"/>
  <c r="BK686" i="13"/>
  <c r="BI686" i="13"/>
  <c r="BH686" i="13"/>
  <c r="BG686" i="13"/>
  <c r="BF686" i="13"/>
  <c r="T686" i="13"/>
  <c r="R686" i="13"/>
  <c r="P686" i="13"/>
  <c r="J686" i="13"/>
  <c r="BE686" i="13"/>
  <c r="BK680" i="13"/>
  <c r="BI680" i="13"/>
  <c r="BH680" i="13"/>
  <c r="BG680" i="13"/>
  <c r="BF680" i="13"/>
  <c r="T680" i="13"/>
  <c r="R680" i="13"/>
  <c r="P680" i="13"/>
  <c r="J680" i="13"/>
  <c r="BE680" i="13"/>
  <c r="BK677" i="13"/>
  <c r="BI677" i="13"/>
  <c r="BH677" i="13"/>
  <c r="BG677" i="13"/>
  <c r="BF677" i="13"/>
  <c r="T677" i="13"/>
  <c r="R677" i="13"/>
  <c r="P677" i="13"/>
  <c r="J677" i="13"/>
  <c r="BE677" i="13" s="1"/>
  <c r="BK673" i="13"/>
  <c r="BI673" i="13"/>
  <c r="BH673" i="13"/>
  <c r="BG673" i="13"/>
  <c r="BF673" i="13"/>
  <c r="T673" i="13"/>
  <c r="R673" i="13"/>
  <c r="P673" i="13"/>
  <c r="J673" i="13"/>
  <c r="BE673" i="13" s="1"/>
  <c r="BK666" i="13"/>
  <c r="BI666" i="13"/>
  <c r="BH666" i="13"/>
  <c r="BG666" i="13"/>
  <c r="BF666" i="13"/>
  <c r="T666" i="13"/>
  <c r="R666" i="13"/>
  <c r="P666" i="13"/>
  <c r="J666" i="13"/>
  <c r="BE666" i="13" s="1"/>
  <c r="BK663" i="13"/>
  <c r="BI663" i="13"/>
  <c r="BH663" i="13"/>
  <c r="BG663" i="13"/>
  <c r="BF663" i="13"/>
  <c r="T663" i="13"/>
  <c r="R663" i="13"/>
  <c r="P663" i="13"/>
  <c r="J663" i="13"/>
  <c r="BE663" i="13"/>
  <c r="BK660" i="13"/>
  <c r="BI660" i="13"/>
  <c r="BH660" i="13"/>
  <c r="BG660" i="13"/>
  <c r="BF660" i="13"/>
  <c r="T660" i="13"/>
  <c r="R660" i="13"/>
  <c r="P660" i="13"/>
  <c r="J660" i="13"/>
  <c r="BE660" i="13" s="1"/>
  <c r="BK650" i="13"/>
  <c r="BI650" i="13"/>
  <c r="BH650" i="13"/>
  <c r="BG650" i="13"/>
  <c r="BF650" i="13"/>
  <c r="T650" i="13"/>
  <c r="R650" i="13"/>
  <c r="P650" i="13"/>
  <c r="J650" i="13"/>
  <c r="BE650" i="13" s="1"/>
  <c r="BK646" i="13"/>
  <c r="BI646" i="13"/>
  <c r="BH646" i="13"/>
  <c r="BG646" i="13"/>
  <c r="BF646" i="13"/>
  <c r="T646" i="13"/>
  <c r="R646" i="13"/>
  <c r="P646" i="13"/>
  <c r="J646" i="13"/>
  <c r="BE646" i="13"/>
  <c r="BK641" i="13"/>
  <c r="BI641" i="13"/>
  <c r="BH641" i="13"/>
  <c r="BG641" i="13"/>
  <c r="BF641" i="13"/>
  <c r="T641" i="13"/>
  <c r="R641" i="13"/>
  <c r="P641" i="13"/>
  <c r="J641" i="13"/>
  <c r="BE641" i="13" s="1"/>
  <c r="BK637" i="13"/>
  <c r="BI637" i="13"/>
  <c r="BH637" i="13"/>
  <c r="BG637" i="13"/>
  <c r="BF637" i="13"/>
  <c r="T637" i="13"/>
  <c r="R637" i="13"/>
  <c r="P637" i="13"/>
  <c r="J637" i="13"/>
  <c r="BE637" i="13" s="1"/>
  <c r="BK633" i="13"/>
  <c r="BI633" i="13"/>
  <c r="BH633" i="13"/>
  <c r="BG633" i="13"/>
  <c r="BF633" i="13"/>
  <c r="T633" i="13"/>
  <c r="R633" i="13"/>
  <c r="P633" i="13"/>
  <c r="J633" i="13"/>
  <c r="BE633" i="13"/>
  <c r="BK628" i="13"/>
  <c r="BI628" i="13"/>
  <c r="BH628" i="13"/>
  <c r="BG628" i="13"/>
  <c r="BF628" i="13"/>
  <c r="T628" i="13"/>
  <c r="R628" i="13"/>
  <c r="P628" i="13"/>
  <c r="J628" i="13"/>
  <c r="BE628" i="13" s="1"/>
  <c r="BK624" i="13"/>
  <c r="BI624" i="13"/>
  <c r="BH624" i="13"/>
  <c r="BG624" i="13"/>
  <c r="BF624" i="13"/>
  <c r="T624" i="13"/>
  <c r="R624" i="13"/>
  <c r="P624" i="13"/>
  <c r="J624" i="13"/>
  <c r="BE624" i="13"/>
  <c r="BK623" i="13"/>
  <c r="BI623" i="13"/>
  <c r="BH623" i="13"/>
  <c r="BG623" i="13"/>
  <c r="BF623" i="13"/>
  <c r="T623" i="13"/>
  <c r="R623" i="13"/>
  <c r="P623" i="13"/>
  <c r="J623" i="13"/>
  <c r="BE623" i="13" s="1"/>
  <c r="BK617" i="13"/>
  <c r="BI617" i="13"/>
  <c r="BH617" i="13"/>
  <c r="BG617" i="13"/>
  <c r="BF617" i="13"/>
  <c r="T617" i="13"/>
  <c r="R617" i="13"/>
  <c r="P617" i="13"/>
  <c r="J617" i="13"/>
  <c r="BE617" i="13" s="1"/>
  <c r="BK613" i="13"/>
  <c r="BI613" i="13"/>
  <c r="BH613" i="13"/>
  <c r="BG613" i="13"/>
  <c r="BF613" i="13"/>
  <c r="T613" i="13"/>
  <c r="R613" i="13"/>
  <c r="P613" i="13"/>
  <c r="J613" i="13"/>
  <c r="BE613" i="13" s="1"/>
  <c r="BK605" i="13"/>
  <c r="BI605" i="13"/>
  <c r="BH605" i="13"/>
  <c r="BG605" i="13"/>
  <c r="BF605" i="13"/>
  <c r="T605" i="13"/>
  <c r="R605" i="13"/>
  <c r="P605" i="13"/>
  <c r="J605" i="13"/>
  <c r="BE605" i="13" s="1"/>
  <c r="BK603" i="13"/>
  <c r="BI603" i="13"/>
  <c r="BH603" i="13"/>
  <c r="BG603" i="13"/>
  <c r="BF603" i="13"/>
  <c r="T603" i="13"/>
  <c r="R603" i="13"/>
  <c r="P603" i="13"/>
  <c r="J603" i="13"/>
  <c r="BE603" i="13" s="1"/>
  <c r="BK601" i="13"/>
  <c r="BI601" i="13"/>
  <c r="BH601" i="13"/>
  <c r="BG601" i="13"/>
  <c r="BF601" i="13"/>
  <c r="T601" i="13"/>
  <c r="R601" i="13"/>
  <c r="P601" i="13"/>
  <c r="J601" i="13"/>
  <c r="BE601" i="13" s="1"/>
  <c r="BK597" i="13"/>
  <c r="BI597" i="13"/>
  <c r="BH597" i="13"/>
  <c r="BG597" i="13"/>
  <c r="BF597" i="13"/>
  <c r="T597" i="13"/>
  <c r="R597" i="13"/>
  <c r="P597" i="13"/>
  <c r="J597" i="13"/>
  <c r="BE597" i="13" s="1"/>
  <c r="BK595" i="13"/>
  <c r="BI595" i="13"/>
  <c r="BH595" i="13"/>
  <c r="BG595" i="13"/>
  <c r="BF595" i="13"/>
  <c r="T595" i="13"/>
  <c r="R595" i="13"/>
  <c r="P595" i="13"/>
  <c r="J595" i="13"/>
  <c r="BE595" i="13" s="1"/>
  <c r="BK593" i="13"/>
  <c r="BI593" i="13"/>
  <c r="BH593" i="13"/>
  <c r="BG593" i="13"/>
  <c r="BF593" i="13"/>
  <c r="T593" i="13"/>
  <c r="R593" i="13"/>
  <c r="P593" i="13"/>
  <c r="J593" i="13"/>
  <c r="BE593" i="13"/>
  <c r="BK573" i="13"/>
  <c r="BI573" i="13"/>
  <c r="BH573" i="13"/>
  <c r="BG573" i="13"/>
  <c r="BF573" i="13"/>
  <c r="T573" i="13"/>
  <c r="T572" i="13" s="1"/>
  <c r="R573" i="13"/>
  <c r="P573" i="13"/>
  <c r="J573" i="13"/>
  <c r="BE573" i="13" s="1"/>
  <c r="BK570" i="13"/>
  <c r="BI570" i="13"/>
  <c r="BH570" i="13"/>
  <c r="BG570" i="13"/>
  <c r="BF570" i="13"/>
  <c r="T570" i="13"/>
  <c r="R570" i="13"/>
  <c r="P570" i="13"/>
  <c r="J570" i="13"/>
  <c r="BE570" i="13"/>
  <c r="BK566" i="13"/>
  <c r="BI566" i="13"/>
  <c r="BH566" i="13"/>
  <c r="BG566" i="13"/>
  <c r="BF566" i="13"/>
  <c r="T566" i="13"/>
  <c r="R566" i="13"/>
  <c r="P566" i="13"/>
  <c r="J566" i="13"/>
  <c r="BE566" i="13" s="1"/>
  <c r="BK565" i="13"/>
  <c r="BI565" i="13"/>
  <c r="BH565" i="13"/>
  <c r="BG565" i="13"/>
  <c r="BF565" i="13"/>
  <c r="T565" i="13"/>
  <c r="R565" i="13"/>
  <c r="P565" i="13"/>
  <c r="J565" i="13"/>
  <c r="BE565" i="13"/>
  <c r="BK562" i="13"/>
  <c r="BI562" i="13"/>
  <c r="BH562" i="13"/>
  <c r="BG562" i="13"/>
  <c r="BF562" i="13"/>
  <c r="T562" i="13"/>
  <c r="R562" i="13"/>
  <c r="P562" i="13"/>
  <c r="J562" i="13"/>
  <c r="BE562" i="13" s="1"/>
  <c r="BK561" i="13"/>
  <c r="BI561" i="13"/>
  <c r="BH561" i="13"/>
  <c r="BG561" i="13"/>
  <c r="BF561" i="13"/>
  <c r="T561" i="13"/>
  <c r="R561" i="13"/>
  <c r="P561" i="13"/>
  <c r="J561" i="13"/>
  <c r="BE561" i="13"/>
  <c r="BK560" i="13"/>
  <c r="BI560" i="13"/>
  <c r="BH560" i="13"/>
  <c r="BG560" i="13"/>
  <c r="BF560" i="13"/>
  <c r="T560" i="13"/>
  <c r="R560" i="13"/>
  <c r="P560" i="13"/>
  <c r="J560" i="13"/>
  <c r="BE560" i="13" s="1"/>
  <c r="BK559" i="13"/>
  <c r="BI559" i="13"/>
  <c r="BH559" i="13"/>
  <c r="BG559" i="13"/>
  <c r="BF559" i="13"/>
  <c r="T559" i="13"/>
  <c r="R559" i="13"/>
  <c r="P559" i="13"/>
  <c r="J559" i="13"/>
  <c r="BE559" i="13"/>
  <c r="BK554" i="13"/>
  <c r="BI554" i="13"/>
  <c r="BH554" i="13"/>
  <c r="BG554" i="13"/>
  <c r="BF554" i="13"/>
  <c r="T554" i="13"/>
  <c r="R554" i="13"/>
  <c r="P554" i="13"/>
  <c r="J554" i="13"/>
  <c r="BE554" i="13"/>
  <c r="BK552" i="13"/>
  <c r="BI552" i="13"/>
  <c r="BH552" i="13"/>
  <c r="BG552" i="13"/>
  <c r="BF552" i="13"/>
  <c r="T552" i="13"/>
  <c r="R552" i="13"/>
  <c r="P552" i="13"/>
  <c r="J552" i="13"/>
  <c r="BE552" i="13"/>
  <c r="BK548" i="13"/>
  <c r="BK547" i="13" s="1"/>
  <c r="BI548" i="13"/>
  <c r="BH548" i="13"/>
  <c r="BG548" i="13"/>
  <c r="BF548" i="13"/>
  <c r="T548" i="13"/>
  <c r="R548" i="13"/>
  <c r="P548" i="13"/>
  <c r="J548" i="13"/>
  <c r="BE548" i="13" s="1"/>
  <c r="BK544" i="13"/>
  <c r="BI544" i="13"/>
  <c r="BH544" i="13"/>
  <c r="BG544" i="13"/>
  <c r="BF544" i="13"/>
  <c r="T544" i="13"/>
  <c r="R544" i="13"/>
  <c r="P544" i="13"/>
  <c r="J544" i="13"/>
  <c r="BE544" i="13"/>
  <c r="BK541" i="13"/>
  <c r="BI541" i="13"/>
  <c r="BH541" i="13"/>
  <c r="BG541" i="13"/>
  <c r="BF541" i="13"/>
  <c r="T541" i="13"/>
  <c r="R541" i="13"/>
  <c r="P541" i="13"/>
  <c r="J541" i="13"/>
  <c r="BE541" i="13" s="1"/>
  <c r="BK535" i="13"/>
  <c r="BK534" i="13" s="1"/>
  <c r="J534" i="13" s="1"/>
  <c r="J66" i="13" s="1"/>
  <c r="BI535" i="13"/>
  <c r="BH535" i="13"/>
  <c r="BG535" i="13"/>
  <c r="BF535" i="13"/>
  <c r="T535" i="13"/>
  <c r="R535" i="13"/>
  <c r="R534" i="13" s="1"/>
  <c r="P535" i="13"/>
  <c r="P534" i="13" s="1"/>
  <c r="J535" i="13"/>
  <c r="BE535" i="13" s="1"/>
  <c r="T534" i="13"/>
  <c r="BK525" i="13"/>
  <c r="BI525" i="13"/>
  <c r="BH525" i="13"/>
  <c r="BG525" i="13"/>
  <c r="BF525" i="13"/>
  <c r="T525" i="13"/>
  <c r="R525" i="13"/>
  <c r="P525" i="13"/>
  <c r="J525" i="13"/>
  <c r="BE525" i="13" s="1"/>
  <c r="BK521" i="13"/>
  <c r="BI521" i="13"/>
  <c r="BH521" i="13"/>
  <c r="BG521" i="13"/>
  <c r="BF521" i="13"/>
  <c r="BE521" i="13"/>
  <c r="T521" i="13"/>
  <c r="R521" i="13"/>
  <c r="P521" i="13"/>
  <c r="J521" i="13"/>
  <c r="BK518" i="13"/>
  <c r="BI518" i="13"/>
  <c r="BH518" i="13"/>
  <c r="BG518" i="13"/>
  <c r="BF518" i="13"/>
  <c r="T518" i="13"/>
  <c r="R518" i="13"/>
  <c r="P518" i="13"/>
  <c r="J518" i="13"/>
  <c r="BE518" i="13"/>
  <c r="BI512" i="13"/>
  <c r="BH512" i="13"/>
  <c r="BG512" i="13"/>
  <c r="BF512" i="13"/>
  <c r="T512" i="13"/>
  <c r="R512" i="13"/>
  <c r="P512" i="13"/>
  <c r="BK502" i="13"/>
  <c r="BI502" i="13"/>
  <c r="BH502" i="13"/>
  <c r="BG502" i="13"/>
  <c r="BF502" i="13"/>
  <c r="T502" i="13"/>
  <c r="R502" i="13"/>
  <c r="P502" i="13"/>
  <c r="J502" i="13"/>
  <c r="BE502" i="13" s="1"/>
  <c r="BI499" i="13"/>
  <c r="BH499" i="13"/>
  <c r="BG499" i="13"/>
  <c r="BF499" i="13"/>
  <c r="T499" i="13"/>
  <c r="R499" i="13"/>
  <c r="P499" i="13"/>
  <c r="BK492" i="13"/>
  <c r="BI492" i="13"/>
  <c r="BH492" i="13"/>
  <c r="BG492" i="13"/>
  <c r="BF492" i="13"/>
  <c r="T492" i="13"/>
  <c r="R492" i="13"/>
  <c r="P492" i="13"/>
  <c r="J492" i="13"/>
  <c r="BE492" i="13"/>
  <c r="BK489" i="13"/>
  <c r="BI489" i="13"/>
  <c r="BH489" i="13"/>
  <c r="BG489" i="13"/>
  <c r="BF489" i="13"/>
  <c r="T489" i="13"/>
  <c r="R489" i="13"/>
  <c r="P489" i="13"/>
  <c r="J489" i="13"/>
  <c r="BE489" i="13"/>
  <c r="BK482" i="13"/>
  <c r="BI482" i="13"/>
  <c r="BH482" i="13"/>
  <c r="BG482" i="13"/>
  <c r="BF482" i="13"/>
  <c r="T482" i="13"/>
  <c r="R482" i="13"/>
  <c r="P482" i="13"/>
  <c r="J482" i="13"/>
  <c r="BE482" i="13" s="1"/>
  <c r="BK477" i="13"/>
  <c r="BI477" i="13"/>
  <c r="BH477" i="13"/>
  <c r="BG477" i="13"/>
  <c r="BF477" i="13"/>
  <c r="T477" i="13"/>
  <c r="R477" i="13"/>
  <c r="P477" i="13"/>
  <c r="J477" i="13"/>
  <c r="BE477" i="13" s="1"/>
  <c r="BK468" i="13"/>
  <c r="BI468" i="13"/>
  <c r="BH468" i="13"/>
  <c r="BG468" i="13"/>
  <c r="BF468" i="13"/>
  <c r="T468" i="13"/>
  <c r="R468" i="13"/>
  <c r="P468" i="13"/>
  <c r="J468" i="13"/>
  <c r="BE468" i="13"/>
  <c r="BK461" i="13"/>
  <c r="BI461" i="13"/>
  <c r="BH461" i="13"/>
  <c r="BG461" i="13"/>
  <c r="BF461" i="13"/>
  <c r="T461" i="13"/>
  <c r="R461" i="13"/>
  <c r="P461" i="13"/>
  <c r="J461" i="13"/>
  <c r="BE461" i="13"/>
  <c r="BK458" i="13"/>
  <c r="BI458" i="13"/>
  <c r="BH458" i="13"/>
  <c r="BG458" i="13"/>
  <c r="BF458" i="13"/>
  <c r="T458" i="13"/>
  <c r="R458" i="13"/>
  <c r="P458" i="13"/>
  <c r="J458" i="13"/>
  <c r="BE458" i="13" s="1"/>
  <c r="BK446" i="13"/>
  <c r="BI446" i="13"/>
  <c r="BH446" i="13"/>
  <c r="BG446" i="13"/>
  <c r="BF446" i="13"/>
  <c r="T446" i="13"/>
  <c r="R446" i="13"/>
  <c r="P446" i="13"/>
  <c r="J446" i="13"/>
  <c r="BE446" i="13" s="1"/>
  <c r="BK437" i="13"/>
  <c r="BI437" i="13"/>
  <c r="BH437" i="13"/>
  <c r="BG437" i="13"/>
  <c r="BF437" i="13"/>
  <c r="T437" i="13"/>
  <c r="R437" i="13"/>
  <c r="P437" i="13"/>
  <c r="J437" i="13"/>
  <c r="BE437" i="13" s="1"/>
  <c r="BK431" i="13"/>
  <c r="BI431" i="13"/>
  <c r="BH431" i="13"/>
  <c r="BG431" i="13"/>
  <c r="BF431" i="13"/>
  <c r="T431" i="13"/>
  <c r="R431" i="13"/>
  <c r="P431" i="13"/>
  <c r="J431" i="13"/>
  <c r="BE431" i="13"/>
  <c r="BK421" i="13"/>
  <c r="BI421" i="13"/>
  <c r="BH421" i="13"/>
  <c r="BG421" i="13"/>
  <c r="BF421" i="13"/>
  <c r="T421" i="13"/>
  <c r="R421" i="13"/>
  <c r="P421" i="13"/>
  <c r="J421" i="13"/>
  <c r="BE421" i="13" s="1"/>
  <c r="BK419" i="13"/>
  <c r="BI419" i="13"/>
  <c r="BH419" i="13"/>
  <c r="BG419" i="13"/>
  <c r="BF419" i="13"/>
  <c r="T419" i="13"/>
  <c r="R419" i="13"/>
  <c r="P419" i="13"/>
  <c r="J419" i="13"/>
  <c r="BE419" i="13" s="1"/>
  <c r="BK412" i="13"/>
  <c r="BI412" i="13"/>
  <c r="BH412" i="13"/>
  <c r="BG412" i="13"/>
  <c r="BF412" i="13"/>
  <c r="T412" i="13"/>
  <c r="R412" i="13"/>
  <c r="P412" i="13"/>
  <c r="J412" i="13"/>
  <c r="BE412" i="13"/>
  <c r="BK404" i="13"/>
  <c r="BI404" i="13"/>
  <c r="BH404" i="13"/>
  <c r="BG404" i="13"/>
  <c r="BF404" i="13"/>
  <c r="T404" i="13"/>
  <c r="R404" i="13"/>
  <c r="P404" i="13"/>
  <c r="J404" i="13"/>
  <c r="BE404" i="13" s="1"/>
  <c r="BK396" i="13"/>
  <c r="BI396" i="13"/>
  <c r="BH396" i="13"/>
  <c r="BG396" i="13"/>
  <c r="BF396" i="13"/>
  <c r="T396" i="13"/>
  <c r="R396" i="13"/>
  <c r="P396" i="13"/>
  <c r="J396" i="13"/>
  <c r="BE396" i="13" s="1"/>
  <c r="BK388" i="13"/>
  <c r="BI388" i="13"/>
  <c r="BH388" i="13"/>
  <c r="BG388" i="13"/>
  <c r="BF388" i="13"/>
  <c r="T388" i="13"/>
  <c r="R388" i="13"/>
  <c r="P388" i="13"/>
  <c r="J388" i="13"/>
  <c r="BE388" i="13" s="1"/>
  <c r="BK380" i="13"/>
  <c r="BI380" i="13"/>
  <c r="BH380" i="13"/>
  <c r="BG380" i="13"/>
  <c r="BF380" i="13"/>
  <c r="T380" i="13"/>
  <c r="R380" i="13"/>
  <c r="P380" i="13"/>
  <c r="J380" i="13"/>
  <c r="BE380" i="13"/>
  <c r="BK366" i="13"/>
  <c r="BI366" i="13"/>
  <c r="BH366" i="13"/>
  <c r="BG366" i="13"/>
  <c r="BF366" i="13"/>
  <c r="T366" i="13"/>
  <c r="R366" i="13"/>
  <c r="P366" i="13"/>
  <c r="J366" i="13"/>
  <c r="BE366" i="13"/>
  <c r="BK359" i="13"/>
  <c r="BI359" i="13"/>
  <c r="BH359" i="13"/>
  <c r="BG359" i="13"/>
  <c r="BF359" i="13"/>
  <c r="T359" i="13"/>
  <c r="R359" i="13"/>
  <c r="P359" i="13"/>
  <c r="J359" i="13"/>
  <c r="BE359" i="13" s="1"/>
  <c r="BK352" i="13"/>
  <c r="BI352" i="13"/>
  <c r="BH352" i="13"/>
  <c r="BG352" i="13"/>
  <c r="BF352" i="13"/>
  <c r="T352" i="13"/>
  <c r="R352" i="13"/>
  <c r="P352" i="13"/>
  <c r="J352" i="13"/>
  <c r="BE352" i="13" s="1"/>
  <c r="BK343" i="13"/>
  <c r="BI343" i="13"/>
  <c r="BH343" i="13"/>
  <c r="BG343" i="13"/>
  <c r="BF343" i="13"/>
  <c r="T343" i="13"/>
  <c r="R343" i="13"/>
  <c r="P343" i="13"/>
  <c r="J343" i="13"/>
  <c r="BE343" i="13"/>
  <c r="BK336" i="13"/>
  <c r="BI336" i="13"/>
  <c r="BH336" i="13"/>
  <c r="BG336" i="13"/>
  <c r="BF336" i="13"/>
  <c r="T336" i="13"/>
  <c r="R336" i="13"/>
  <c r="P336" i="13"/>
  <c r="J336" i="13"/>
  <c r="BE336" i="13"/>
  <c r="BK329" i="13"/>
  <c r="BI329" i="13"/>
  <c r="BH329" i="13"/>
  <c r="BG329" i="13"/>
  <c r="BF329" i="13"/>
  <c r="T329" i="13"/>
  <c r="R329" i="13"/>
  <c r="P329" i="13"/>
  <c r="J329" i="13"/>
  <c r="BE329" i="13" s="1"/>
  <c r="BK318" i="13"/>
  <c r="BI318" i="13"/>
  <c r="BH318" i="13"/>
  <c r="BG318" i="13"/>
  <c r="BF318" i="13"/>
  <c r="T318" i="13"/>
  <c r="R318" i="13"/>
  <c r="P318" i="13"/>
  <c r="J318" i="13"/>
  <c r="BE318" i="13" s="1"/>
  <c r="BK311" i="13"/>
  <c r="BI311" i="13"/>
  <c r="BH311" i="13"/>
  <c r="BG311" i="13"/>
  <c r="BF311" i="13"/>
  <c r="T311" i="13"/>
  <c r="R311" i="13"/>
  <c r="P311" i="13"/>
  <c r="J311" i="13"/>
  <c r="BE311" i="13" s="1"/>
  <c r="BK293" i="13"/>
  <c r="BI293" i="13"/>
  <c r="BH293" i="13"/>
  <c r="BG293" i="13"/>
  <c r="BF293" i="13"/>
  <c r="T293" i="13"/>
  <c r="R293" i="13"/>
  <c r="P293" i="13"/>
  <c r="J293" i="13"/>
  <c r="BE293" i="13"/>
  <c r="BK280" i="13"/>
  <c r="BI280" i="13"/>
  <c r="BH280" i="13"/>
  <c r="BG280" i="13"/>
  <c r="BF280" i="13"/>
  <c r="T280" i="13"/>
  <c r="R280" i="13"/>
  <c r="P280" i="13"/>
  <c r="J280" i="13"/>
  <c r="BE280" i="13" s="1"/>
  <c r="BK267" i="13"/>
  <c r="BI267" i="13"/>
  <c r="BH267" i="13"/>
  <c r="BG267" i="13"/>
  <c r="BF267" i="13"/>
  <c r="T267" i="13"/>
  <c r="R267" i="13"/>
  <c r="P267" i="13"/>
  <c r="J267" i="13"/>
  <c r="BE267" i="13" s="1"/>
  <c r="BK260" i="13"/>
  <c r="BI260" i="13"/>
  <c r="BH260" i="13"/>
  <c r="BG260" i="13"/>
  <c r="BF260" i="13"/>
  <c r="T260" i="13"/>
  <c r="R260" i="13"/>
  <c r="P260" i="13"/>
  <c r="J260" i="13"/>
  <c r="BE260" i="13"/>
  <c r="BI257" i="13"/>
  <c r="BH257" i="13"/>
  <c r="BG257" i="13"/>
  <c r="BF257" i="13"/>
  <c r="T257" i="13"/>
  <c r="T249" i="13" s="1"/>
  <c r="R257" i="13"/>
  <c r="P257" i="13"/>
  <c r="J257" i="13"/>
  <c r="BE257" i="13" s="1"/>
  <c r="BK250" i="13"/>
  <c r="BI250" i="13"/>
  <c r="BH250" i="13"/>
  <c r="BG250" i="13"/>
  <c r="BF250" i="13"/>
  <c r="T250" i="13"/>
  <c r="R250" i="13"/>
  <c r="R249" i="13" s="1"/>
  <c r="P250" i="13"/>
  <c r="J250" i="13"/>
  <c r="BE250" i="13" s="1"/>
  <c r="BK245" i="13"/>
  <c r="BI245" i="13"/>
  <c r="BH245" i="13"/>
  <c r="BG245" i="13"/>
  <c r="BF245" i="13"/>
  <c r="T245" i="13"/>
  <c r="R245" i="13"/>
  <c r="P245" i="13"/>
  <c r="J245" i="13"/>
  <c r="BE245" i="13" s="1"/>
  <c r="BK242" i="13"/>
  <c r="BI242" i="13"/>
  <c r="BH242" i="13"/>
  <c r="BG242" i="13"/>
  <c r="BF242" i="13"/>
  <c r="T242" i="13"/>
  <c r="R242" i="13"/>
  <c r="P242" i="13"/>
  <c r="J242" i="13"/>
  <c r="BE242" i="13" s="1"/>
  <c r="BK239" i="13"/>
  <c r="BI239" i="13"/>
  <c r="BH239" i="13"/>
  <c r="BG239" i="13"/>
  <c r="BF239" i="13"/>
  <c r="T239" i="13"/>
  <c r="R239" i="13"/>
  <c r="P239" i="13"/>
  <c r="J239" i="13"/>
  <c r="BE239" i="13"/>
  <c r="BK224" i="13"/>
  <c r="BI224" i="13"/>
  <c r="BH224" i="13"/>
  <c r="BG224" i="13"/>
  <c r="BF224" i="13"/>
  <c r="T224" i="13"/>
  <c r="R224" i="13"/>
  <c r="P224" i="13"/>
  <c r="J224" i="13"/>
  <c r="BE224" i="13"/>
  <c r="BK221" i="13"/>
  <c r="BI221" i="13"/>
  <c r="BH221" i="13"/>
  <c r="BG221" i="13"/>
  <c r="BF221" i="13"/>
  <c r="T221" i="13"/>
  <c r="R221" i="13"/>
  <c r="P221" i="13"/>
  <c r="J221" i="13"/>
  <c r="BE221" i="13" s="1"/>
  <c r="BK209" i="13"/>
  <c r="BI209" i="13"/>
  <c r="BH209" i="13"/>
  <c r="BG209" i="13"/>
  <c r="BF209" i="13"/>
  <c r="T209" i="13"/>
  <c r="T186" i="13" s="1"/>
  <c r="R209" i="13"/>
  <c r="P209" i="13"/>
  <c r="J209" i="13"/>
  <c r="BE209" i="13" s="1"/>
  <c r="BK187" i="13"/>
  <c r="BK186" i="13" s="1"/>
  <c r="J186" i="13" s="1"/>
  <c r="J64" i="13" s="1"/>
  <c r="BI187" i="13"/>
  <c r="BH187" i="13"/>
  <c r="BG187" i="13"/>
  <c r="BF187" i="13"/>
  <c r="T187" i="13"/>
  <c r="R187" i="13"/>
  <c r="R186" i="13" s="1"/>
  <c r="P187" i="13"/>
  <c r="J187" i="13"/>
  <c r="BE187" i="13" s="1"/>
  <c r="P186" i="13"/>
  <c r="BK184" i="13"/>
  <c r="BI184" i="13"/>
  <c r="BH184" i="13"/>
  <c r="BG184" i="13"/>
  <c r="BF184" i="13"/>
  <c r="T184" i="13"/>
  <c r="R184" i="13"/>
  <c r="R169" i="13" s="1"/>
  <c r="P184" i="13"/>
  <c r="P169" i="13" s="1"/>
  <c r="J184" i="13"/>
  <c r="BE184" i="13"/>
  <c r="BK182" i="13"/>
  <c r="BI182" i="13"/>
  <c r="BH182" i="13"/>
  <c r="BG182" i="13"/>
  <c r="BF182" i="13"/>
  <c r="T182" i="13"/>
  <c r="R182" i="13"/>
  <c r="P182" i="13"/>
  <c r="J182" i="13"/>
  <c r="BE182" i="13" s="1"/>
  <c r="BK180" i="13"/>
  <c r="BI180" i="13"/>
  <c r="BH180" i="13"/>
  <c r="BG180" i="13"/>
  <c r="BF180" i="13"/>
  <c r="T180" i="13"/>
  <c r="R180" i="13"/>
  <c r="P180" i="13"/>
  <c r="J180" i="13"/>
  <c r="BE180" i="13" s="1"/>
  <c r="BK178" i="13"/>
  <c r="BI178" i="13"/>
  <c r="BH178" i="13"/>
  <c r="BG178" i="13"/>
  <c r="BF178" i="13"/>
  <c r="T178" i="13"/>
  <c r="R178" i="13"/>
  <c r="P178" i="13"/>
  <c r="J178" i="13"/>
  <c r="BE178" i="13" s="1"/>
  <c r="BK170" i="13"/>
  <c r="BI170" i="13"/>
  <c r="BH170" i="13"/>
  <c r="BG170" i="13"/>
  <c r="BF170" i="13"/>
  <c r="T170" i="13"/>
  <c r="R170" i="13"/>
  <c r="P170" i="13"/>
  <c r="J170" i="13"/>
  <c r="BE170" i="13" s="1"/>
  <c r="BK166" i="13"/>
  <c r="BI166" i="13"/>
  <c r="BH166" i="13"/>
  <c r="BG166" i="13"/>
  <c r="BF166" i="13"/>
  <c r="T166" i="13"/>
  <c r="R166" i="13"/>
  <c r="P166" i="13"/>
  <c r="J166" i="13"/>
  <c r="BE166" i="13"/>
  <c r="BK162" i="13"/>
  <c r="BI162" i="13"/>
  <c r="BH162" i="13"/>
  <c r="BG162" i="13"/>
  <c r="BF162" i="13"/>
  <c r="T162" i="13"/>
  <c r="R162" i="13"/>
  <c r="P162" i="13"/>
  <c r="J162" i="13"/>
  <c r="BE162" i="13" s="1"/>
  <c r="BK160" i="13"/>
  <c r="BI160" i="13"/>
  <c r="BH160" i="13"/>
  <c r="BG160" i="13"/>
  <c r="BF160" i="13"/>
  <c r="T160" i="13"/>
  <c r="T134" i="13" s="1"/>
  <c r="R160" i="13"/>
  <c r="P160" i="13"/>
  <c r="J160" i="13"/>
  <c r="BE160" i="13" s="1"/>
  <c r="BK148" i="13"/>
  <c r="BI148" i="13"/>
  <c r="BH148" i="13"/>
  <c r="BG148" i="13"/>
  <c r="BF148" i="13"/>
  <c r="T148" i="13"/>
  <c r="R148" i="13"/>
  <c r="P148" i="13"/>
  <c r="J148" i="13"/>
  <c r="BE148" i="13" s="1"/>
  <c r="BK135" i="13"/>
  <c r="BK134" i="13" s="1"/>
  <c r="J134" i="13" s="1"/>
  <c r="J62" i="13" s="1"/>
  <c r="BI135" i="13"/>
  <c r="BH135" i="13"/>
  <c r="BG135" i="13"/>
  <c r="BF135" i="13"/>
  <c r="T135" i="13"/>
  <c r="R135" i="13"/>
  <c r="P135" i="13"/>
  <c r="J135" i="13"/>
  <c r="BE135" i="13" s="1"/>
  <c r="BK102" i="13"/>
  <c r="BI102" i="13"/>
  <c r="BH102" i="13"/>
  <c r="BG102" i="13"/>
  <c r="BF102" i="13"/>
  <c r="T102" i="13"/>
  <c r="R102" i="13"/>
  <c r="P102" i="13"/>
  <c r="J102" i="13"/>
  <c r="BE102" i="13"/>
  <c r="BK100" i="13"/>
  <c r="BI100" i="13"/>
  <c r="BH100" i="13"/>
  <c r="BG100" i="13"/>
  <c r="BF100" i="13"/>
  <c r="T100" i="13"/>
  <c r="R100" i="13"/>
  <c r="P100" i="13"/>
  <c r="J100" i="13"/>
  <c r="BE100" i="13" s="1"/>
  <c r="BK95" i="13"/>
  <c r="BK94" i="13" s="1"/>
  <c r="J94" i="13" s="1"/>
  <c r="J61" i="13" s="1"/>
  <c r="BI95" i="13"/>
  <c r="BH95" i="13"/>
  <c r="BG95" i="13"/>
  <c r="BF95" i="13"/>
  <c r="T95" i="13"/>
  <c r="T94" i="13" s="1"/>
  <c r="R95" i="13"/>
  <c r="R94" i="13" s="1"/>
  <c r="P95" i="13"/>
  <c r="P94" i="13" s="1"/>
  <c r="J95" i="13"/>
  <c r="BE95" i="13" s="1"/>
  <c r="J89" i="13"/>
  <c r="J88" i="13"/>
  <c r="F88" i="13"/>
  <c r="F86" i="13"/>
  <c r="E84" i="13"/>
  <c r="J55" i="13"/>
  <c r="J54" i="13"/>
  <c r="F54" i="13"/>
  <c r="F52" i="13"/>
  <c r="E50" i="13"/>
  <c r="J37" i="13"/>
  <c r="J36" i="13"/>
  <c r="J35" i="13"/>
  <c r="J18" i="13"/>
  <c r="E18" i="13"/>
  <c r="F55" i="13" s="1"/>
  <c r="J17" i="13"/>
  <c r="J12" i="13"/>
  <c r="J52" i="13" s="1"/>
  <c r="E7" i="13"/>
  <c r="E82" i="13" s="1"/>
  <c r="P572" i="13"/>
  <c r="H133" i="19"/>
  <c r="I132" i="19" s="1"/>
  <c r="H130" i="19"/>
  <c r="I129" i="19" s="1"/>
  <c r="H127" i="19"/>
  <c r="I126" i="19" s="1"/>
  <c r="H124" i="19"/>
  <c r="H123" i="19"/>
  <c r="H122" i="19"/>
  <c r="H121" i="19"/>
  <c r="H120" i="19"/>
  <c r="I118" i="19" s="1"/>
  <c r="H119" i="19"/>
  <c r="E116" i="19"/>
  <c r="H116" i="19"/>
  <c r="H115" i="19"/>
  <c r="E114" i="19"/>
  <c r="H112" i="19"/>
  <c r="H111" i="19"/>
  <c r="H110" i="19"/>
  <c r="H109" i="19"/>
  <c r="H108" i="19"/>
  <c r="E107" i="19"/>
  <c r="H107" i="19" s="1"/>
  <c r="H106" i="19"/>
  <c r="H105" i="19"/>
  <c r="H104" i="19"/>
  <c r="H103" i="19"/>
  <c r="E100" i="19"/>
  <c r="H100" i="19" s="1"/>
  <c r="H99" i="19"/>
  <c r="E98" i="19"/>
  <c r="H96" i="19"/>
  <c r="H95" i="19"/>
  <c r="H94" i="19"/>
  <c r="H93" i="19"/>
  <c r="H92" i="19"/>
  <c r="H91" i="19"/>
  <c r="H90" i="19"/>
  <c r="H89" i="19"/>
  <c r="H88" i="19"/>
  <c r="H87" i="19"/>
  <c r="E84" i="19"/>
  <c r="H84" i="19" s="1"/>
  <c r="I82" i="19" s="1"/>
  <c r="H83" i="19"/>
  <c r="E82" i="19"/>
  <c r="H80" i="19"/>
  <c r="H79" i="19"/>
  <c r="H78" i="19"/>
  <c r="H77" i="19"/>
  <c r="H76" i="19"/>
  <c r="H75" i="19"/>
  <c r="H74" i="19"/>
  <c r="H73" i="19"/>
  <c r="H72" i="19"/>
  <c r="H71" i="19"/>
  <c r="H68" i="19"/>
  <c r="H67" i="19"/>
  <c r="E66" i="19"/>
  <c r="H64" i="19"/>
  <c r="H63" i="19"/>
  <c r="H62" i="19"/>
  <c r="H61" i="19"/>
  <c r="E59" i="19"/>
  <c r="E60" i="19" s="1"/>
  <c r="H60" i="19" s="1"/>
  <c r="H58" i="19"/>
  <c r="H57" i="19"/>
  <c r="H56" i="19"/>
  <c r="H55" i="19"/>
  <c r="H54" i="19"/>
  <c r="H53" i="19"/>
  <c r="H52" i="19"/>
  <c r="H51" i="19"/>
  <c r="H48" i="19"/>
  <c r="H47" i="19"/>
  <c r="E46" i="19"/>
  <c r="H44" i="19"/>
  <c r="H43" i="19"/>
  <c r="E41" i="19"/>
  <c r="H40" i="19"/>
  <c r="H39" i="19"/>
  <c r="H38" i="19"/>
  <c r="H37" i="19"/>
  <c r="H36" i="19"/>
  <c r="H35" i="19"/>
  <c r="H34" i="19"/>
  <c r="H33" i="19"/>
  <c r="H30" i="19"/>
  <c r="H29" i="19"/>
  <c r="E28" i="19"/>
  <c r="H28" i="19" s="1"/>
  <c r="H27" i="19"/>
  <c r="H26" i="19"/>
  <c r="E25" i="19"/>
  <c r="H23" i="19"/>
  <c r="H22" i="19"/>
  <c r="H21" i="19"/>
  <c r="H20" i="19"/>
  <c r="E18" i="19"/>
  <c r="E19" i="19"/>
  <c r="H19" i="19" s="1"/>
  <c r="H17" i="19"/>
  <c r="H16" i="19"/>
  <c r="H15" i="19"/>
  <c r="H14" i="19"/>
  <c r="H13" i="19"/>
  <c r="I9" i="19" s="1"/>
  <c r="H12" i="19"/>
  <c r="H11" i="19"/>
  <c r="H10" i="19"/>
  <c r="D4" i="19"/>
  <c r="D3" i="19"/>
  <c r="D2" i="19"/>
  <c r="D1" i="19"/>
  <c r="E139" i="8"/>
  <c r="G139" i="8" s="1"/>
  <c r="E126" i="8"/>
  <c r="G126" i="8" s="1"/>
  <c r="G183" i="8"/>
  <c r="G134" i="1"/>
  <c r="G91" i="6"/>
  <c r="G155" i="4"/>
  <c r="H59" i="19"/>
  <c r="H18" i="19"/>
  <c r="G138" i="3"/>
  <c r="E135" i="7"/>
  <c r="G135" i="7" s="1"/>
  <c r="E131" i="7"/>
  <c r="G131" i="7" s="1"/>
  <c r="E134" i="7"/>
  <c r="H134" i="7" s="1"/>
  <c r="G130" i="7"/>
  <c r="G137" i="3"/>
  <c r="G136" i="3"/>
  <c r="G135" i="3"/>
  <c r="G134" i="3"/>
  <c r="G133" i="7"/>
  <c r="G97" i="7"/>
  <c r="G98" i="7"/>
  <c r="G96" i="7"/>
  <c r="E146" i="3"/>
  <c r="G146" i="3" s="1"/>
  <c r="E145" i="3"/>
  <c r="H145" i="3" s="1"/>
  <c r="E148" i="3"/>
  <c r="G148" i="3" s="1"/>
  <c r="E144" i="3"/>
  <c r="H144" i="3" s="1"/>
  <c r="E143" i="3"/>
  <c r="G143" i="3" s="1"/>
  <c r="E147" i="3"/>
  <c r="G147" i="3" s="1"/>
  <c r="E139" i="3"/>
  <c r="G139" i="3" s="1"/>
  <c r="G142" i="3"/>
  <c r="G141" i="3"/>
  <c r="G133" i="3"/>
  <c r="E150" i="3"/>
  <c r="G150" i="3" s="1"/>
  <c r="E151" i="3"/>
  <c r="G151" i="3" s="1"/>
  <c r="G152" i="3"/>
  <c r="G76" i="20"/>
  <c r="G75" i="20"/>
  <c r="G74" i="20"/>
  <c r="G73" i="20"/>
  <c r="G72" i="20"/>
  <c r="G71" i="20"/>
  <c r="G70" i="20"/>
  <c r="G69" i="20"/>
  <c r="G68" i="20"/>
  <c r="G67" i="20"/>
  <c r="G66" i="20"/>
  <c r="G65" i="20"/>
  <c r="G64" i="20"/>
  <c r="G63" i="20"/>
  <c r="G62" i="20"/>
  <c r="G61" i="20"/>
  <c r="G60" i="20"/>
  <c r="G59" i="20"/>
  <c r="G58" i="20"/>
  <c r="G56" i="20"/>
  <c r="G54" i="20"/>
  <c r="G53" i="20"/>
  <c r="G52" i="20"/>
  <c r="G51" i="20"/>
  <c r="G50" i="20"/>
  <c r="G49" i="20"/>
  <c r="G48" i="20"/>
  <c r="G47" i="20"/>
  <c r="G46" i="20"/>
  <c r="G45" i="20"/>
  <c r="G44" i="20"/>
  <c r="G43" i="20"/>
  <c r="G68" i="17"/>
  <c r="G67" i="17"/>
  <c r="G66" i="17"/>
  <c r="G65" i="17"/>
  <c r="G64" i="17"/>
  <c r="G63" i="17"/>
  <c r="G60" i="17"/>
  <c r="G59" i="17"/>
  <c r="G58" i="17"/>
  <c r="G57" i="17"/>
  <c r="G56" i="17"/>
  <c r="G55" i="17"/>
  <c r="G54" i="17"/>
  <c r="G53" i="17"/>
  <c r="G52" i="17"/>
  <c r="G51" i="17"/>
  <c r="G50" i="17"/>
  <c r="G49" i="17"/>
  <c r="G48" i="17"/>
  <c r="G47" i="17"/>
  <c r="G46" i="17"/>
  <c r="G45" i="17"/>
  <c r="G44" i="17"/>
  <c r="G43" i="17"/>
  <c r="G42" i="17"/>
  <c r="G41" i="17"/>
  <c r="G40" i="17"/>
  <c r="G39" i="17"/>
  <c r="G38" i="17"/>
  <c r="G37" i="17"/>
  <c r="G36" i="17"/>
  <c r="G35" i="17"/>
  <c r="G34" i="17"/>
  <c r="G33" i="17"/>
  <c r="G32" i="17"/>
  <c r="G31" i="17"/>
  <c r="G30" i="17"/>
  <c r="G29" i="17"/>
  <c r="G28" i="17"/>
  <c r="G26" i="17"/>
  <c r="G25" i="17"/>
  <c r="G24" i="17"/>
  <c r="G23" i="17"/>
  <c r="G22" i="17"/>
  <c r="G21" i="17"/>
  <c r="G20" i="17"/>
  <c r="G19" i="17"/>
  <c r="G18" i="17"/>
  <c r="G17" i="17"/>
  <c r="G16" i="17"/>
  <c r="G14" i="17"/>
  <c r="G13" i="17"/>
  <c r="G11" i="17"/>
  <c r="G10" i="17"/>
  <c r="G9" i="17"/>
  <c r="G8" i="17"/>
  <c r="G85" i="14"/>
  <c r="G84" i="14"/>
  <c r="G83" i="14"/>
  <c r="G82" i="14"/>
  <c r="G81" i="14"/>
  <c r="E80" i="14"/>
  <c r="G80" i="14" s="1"/>
  <c r="G77" i="14"/>
  <c r="G76" i="14"/>
  <c r="G75" i="14"/>
  <c r="G74" i="14"/>
  <c r="G73" i="14"/>
  <c r="G72" i="14"/>
  <c r="G71" i="14"/>
  <c r="G70" i="14"/>
  <c r="G69" i="14"/>
  <c r="G68" i="14"/>
  <c r="G67" i="14"/>
  <c r="G66" i="14"/>
  <c r="G65" i="14"/>
  <c r="G64" i="14"/>
  <c r="G63" i="14"/>
  <c r="G62" i="14"/>
  <c r="G61" i="14"/>
  <c r="G60" i="14"/>
  <c r="G59" i="14"/>
  <c r="G58" i="14"/>
  <c r="G57" i="14"/>
  <c r="G56" i="14"/>
  <c r="G55" i="14"/>
  <c r="G54" i="14"/>
  <c r="G53" i="14"/>
  <c r="G52" i="14"/>
  <c r="G51" i="14"/>
  <c r="G50" i="14"/>
  <c r="G47" i="14"/>
  <c r="G46" i="14"/>
  <c r="G45" i="14"/>
  <c r="G44" i="14"/>
  <c r="G43" i="14"/>
  <c r="G42" i="14"/>
  <c r="G41" i="14"/>
  <c r="G40" i="14"/>
  <c r="G39" i="14"/>
  <c r="G38" i="14"/>
  <c r="G37" i="14"/>
  <c r="G36" i="14"/>
  <c r="G35" i="14"/>
  <c r="G34" i="14"/>
  <c r="G33" i="14"/>
  <c r="G30" i="14"/>
  <c r="G29" i="14"/>
  <c r="G28" i="14"/>
  <c r="G25" i="14"/>
  <c r="G24" i="14"/>
  <c r="G21" i="14"/>
  <c r="G20" i="14"/>
  <c r="G19" i="14"/>
  <c r="G18" i="14"/>
  <c r="G17" i="14"/>
  <c r="G16" i="14"/>
  <c r="G15" i="14"/>
  <c r="G14" i="14"/>
  <c r="G13" i="14"/>
  <c r="G12" i="14"/>
  <c r="G11" i="14"/>
  <c r="G10" i="14"/>
  <c r="G9" i="14"/>
  <c r="G8" i="14"/>
  <c r="G7" i="14"/>
  <c r="G6" i="14"/>
  <c r="E92" i="8"/>
  <c r="G92" i="8" s="1"/>
  <c r="G56" i="8"/>
  <c r="E48" i="8"/>
  <c r="E47" i="8" s="1"/>
  <c r="E49" i="8" s="1"/>
  <c r="G182" i="8"/>
  <c r="E181" i="8"/>
  <c r="G181" i="8"/>
  <c r="G117" i="2"/>
  <c r="G116" i="2"/>
  <c r="G115" i="2"/>
  <c r="G247" i="1"/>
  <c r="G246" i="1"/>
  <c r="G245" i="1"/>
  <c r="E139" i="7"/>
  <c r="G139" i="7" s="1"/>
  <c r="G83" i="4"/>
  <c r="G141" i="7"/>
  <c r="G140" i="7"/>
  <c r="E123" i="7"/>
  <c r="G123" i="7" s="1"/>
  <c r="G120" i="7"/>
  <c r="E93" i="2"/>
  <c r="E97" i="2" s="1"/>
  <c r="E95" i="2"/>
  <c r="H95" i="2"/>
  <c r="G101" i="7"/>
  <c r="G100" i="7"/>
  <c r="G156" i="3"/>
  <c r="G156" i="4"/>
  <c r="G119" i="6"/>
  <c r="G118" i="6"/>
  <c r="G95" i="6"/>
  <c r="G94" i="6"/>
  <c r="G93" i="6"/>
  <c r="G92" i="6"/>
  <c r="G90" i="6"/>
  <c r="G89" i="6"/>
  <c r="G81" i="6"/>
  <c r="G79" i="6"/>
  <c r="E78" i="6"/>
  <c r="G78" i="6" s="1"/>
  <c r="G155" i="3"/>
  <c r="E154" i="3"/>
  <c r="G154" i="3" s="1"/>
  <c r="E153" i="4"/>
  <c r="G153" i="4" s="1"/>
  <c r="G109" i="4"/>
  <c r="H109" i="4"/>
  <c r="E108" i="4"/>
  <c r="H108" i="4" s="1"/>
  <c r="H107" i="4"/>
  <c r="G107" i="4"/>
  <c r="E110" i="4"/>
  <c r="G110" i="4" s="1"/>
  <c r="E103" i="4"/>
  <c r="E105" i="4" s="1"/>
  <c r="G52" i="4"/>
  <c r="G117" i="6"/>
  <c r="G74" i="4"/>
  <c r="E116" i="3"/>
  <c r="G116" i="3" s="1"/>
  <c r="G131" i="3"/>
  <c r="E94" i="3"/>
  <c r="H94" i="3" s="1"/>
  <c r="E86" i="3"/>
  <c r="H86" i="3" s="1"/>
  <c r="G63" i="3"/>
  <c r="G50" i="3"/>
  <c r="G71" i="2"/>
  <c r="G224" i="1"/>
  <c r="E128" i="1"/>
  <c r="H128" i="1" s="1"/>
  <c r="G81" i="1"/>
  <c r="G179" i="8"/>
  <c r="G178" i="8"/>
  <c r="G177" i="8"/>
  <c r="G176" i="8"/>
  <c r="G175" i="8"/>
  <c r="G174" i="8"/>
  <c r="G173" i="8"/>
  <c r="E172" i="8"/>
  <c r="G172" i="8" s="1"/>
  <c r="E171" i="8"/>
  <c r="G171" i="8" s="1"/>
  <c r="G170" i="8"/>
  <c r="E166" i="8"/>
  <c r="G166" i="8" s="1"/>
  <c r="E165" i="8"/>
  <c r="G165" i="8" s="1"/>
  <c r="E164" i="8"/>
  <c r="G163" i="8"/>
  <c r="G162" i="8"/>
  <c r="G149" i="8"/>
  <c r="G147" i="8"/>
  <c r="E146" i="8"/>
  <c r="G146" i="8" s="1"/>
  <c r="E145" i="8"/>
  <c r="G145" i="8" s="1"/>
  <c r="E144" i="8"/>
  <c r="G144" i="8" s="1"/>
  <c r="E143" i="8"/>
  <c r="G143" i="8" s="1"/>
  <c r="E141" i="8"/>
  <c r="G141" i="8" s="1"/>
  <c r="G140" i="8"/>
  <c r="E138" i="8"/>
  <c r="G138" i="8" s="1"/>
  <c r="G135" i="8"/>
  <c r="G134" i="8"/>
  <c r="E133" i="8"/>
  <c r="G133" i="8" s="1"/>
  <c r="E132" i="8"/>
  <c r="G132" i="8" s="1"/>
  <c r="E131" i="8"/>
  <c r="G131" i="8" s="1"/>
  <c r="E130" i="8"/>
  <c r="G130" i="8" s="1"/>
  <c r="E128" i="8"/>
  <c r="G128" i="8" s="1"/>
  <c r="G127" i="8"/>
  <c r="E125" i="8"/>
  <c r="G125" i="8" s="1"/>
  <c r="E122" i="8"/>
  <c r="G122" i="8" s="1"/>
  <c r="G121" i="8"/>
  <c r="G120" i="8"/>
  <c r="G117" i="8"/>
  <c r="G116" i="8"/>
  <c r="E115" i="8"/>
  <c r="G115" i="8" s="1"/>
  <c r="E114" i="8"/>
  <c r="G114" i="8" s="1"/>
  <c r="G110" i="8"/>
  <c r="G109" i="8"/>
  <c r="G108" i="8"/>
  <c r="G106" i="8"/>
  <c r="G105" i="8"/>
  <c r="G104" i="8"/>
  <c r="G103" i="8"/>
  <c r="G102" i="8"/>
  <c r="G101" i="8"/>
  <c r="G100" i="8"/>
  <c r="E97" i="8"/>
  <c r="G97" i="8" s="1"/>
  <c r="G96" i="8"/>
  <c r="G95" i="8"/>
  <c r="E91" i="8"/>
  <c r="G91" i="8" s="1"/>
  <c r="G90" i="8"/>
  <c r="E88" i="8"/>
  <c r="G88" i="8" s="1"/>
  <c r="E85" i="8"/>
  <c r="G85" i="8" s="1"/>
  <c r="E84" i="8"/>
  <c r="E82" i="8"/>
  <c r="G82" i="8" s="1"/>
  <c r="G80" i="8"/>
  <c r="G78" i="8"/>
  <c r="G77" i="8"/>
  <c r="G75" i="8"/>
  <c r="G74" i="8"/>
  <c r="G72" i="8"/>
  <c r="G71" i="8"/>
  <c r="G69" i="8"/>
  <c r="G68" i="8"/>
  <c r="E66" i="8"/>
  <c r="G66" i="8" s="1"/>
  <c r="E63" i="8"/>
  <c r="G63" i="8" s="1"/>
  <c r="G61" i="8"/>
  <c r="G59" i="8"/>
  <c r="G58" i="8"/>
  <c r="G55" i="8"/>
  <c r="G54" i="8"/>
  <c r="G53" i="8"/>
  <c r="E51" i="8"/>
  <c r="G51" i="8" s="1"/>
  <c r="G46" i="8"/>
  <c r="G232" i="1"/>
  <c r="G231" i="1"/>
  <c r="G235" i="1"/>
  <c r="G234" i="1"/>
  <c r="G233" i="1"/>
  <c r="G230" i="1"/>
  <c r="G229" i="1"/>
  <c r="G228" i="1"/>
  <c r="G227" i="1"/>
  <c r="G195" i="1"/>
  <c r="G196" i="1"/>
  <c r="G182" i="1"/>
  <c r="G183" i="1"/>
  <c r="E162" i="1"/>
  <c r="G140" i="1"/>
  <c r="E104" i="1"/>
  <c r="H104" i="1" s="1"/>
  <c r="E80" i="1"/>
  <c r="E79" i="1"/>
  <c r="G77" i="1"/>
  <c r="E68" i="1"/>
  <c r="E70" i="1" s="1"/>
  <c r="G70" i="1" s="1"/>
  <c r="E66" i="1"/>
  <c r="H66" i="1" s="1"/>
  <c r="E62" i="1"/>
  <c r="H62" i="1" s="1"/>
  <c r="E65" i="1"/>
  <c r="H65" i="1" s="1"/>
  <c r="E61" i="1"/>
  <c r="G61" i="1" s="1"/>
  <c r="E57" i="1"/>
  <c r="G57" i="1" s="1"/>
  <c r="E56" i="1"/>
  <c r="G56" i="1" s="1"/>
  <c r="E109" i="2"/>
  <c r="G109" i="2" s="1"/>
  <c r="E107" i="2"/>
  <c r="G107" i="2" s="1"/>
  <c r="E106" i="2"/>
  <c r="G106" i="2" s="1"/>
  <c r="E89" i="2"/>
  <c r="H89" i="2" s="1"/>
  <c r="E92" i="2" s="1"/>
  <c r="E80" i="2"/>
  <c r="H80" i="2" s="1"/>
  <c r="E86" i="2" s="1"/>
  <c r="H86" i="2" s="1"/>
  <c r="E82" i="2"/>
  <c r="H82" i="2"/>
  <c r="E67" i="2"/>
  <c r="G67" i="2" s="1"/>
  <c r="G59" i="2"/>
  <c r="E58" i="2"/>
  <c r="G58" i="2" s="1"/>
  <c r="E56" i="2"/>
  <c r="E57" i="2"/>
  <c r="G111" i="2"/>
  <c r="E103" i="2"/>
  <c r="E101" i="2"/>
  <c r="G101" i="2" s="1"/>
  <c r="G47" i="3"/>
  <c r="H49" i="3"/>
  <c r="G106" i="7"/>
  <c r="G53" i="2"/>
  <c r="H52" i="2"/>
  <c r="G52" i="2"/>
  <c r="G95" i="7"/>
  <c r="E94" i="7"/>
  <c r="G94" i="7" s="1"/>
  <c r="G115" i="6"/>
  <c r="G114" i="2"/>
  <c r="G113" i="2"/>
  <c r="E110" i="6"/>
  <c r="E109" i="6"/>
  <c r="E108" i="6"/>
  <c r="E102" i="6"/>
  <c r="E104" i="6" s="1"/>
  <c r="G104" i="6" s="1"/>
  <c r="E101" i="6"/>
  <c r="E100" i="6"/>
  <c r="G137" i="7"/>
  <c r="G128" i="7"/>
  <c r="G127" i="7"/>
  <c r="G126" i="7"/>
  <c r="E124" i="7"/>
  <c r="G124" i="7" s="1"/>
  <c r="G122" i="7"/>
  <c r="E121" i="7"/>
  <c r="G121" i="7" s="1"/>
  <c r="G119" i="7"/>
  <c r="E118" i="7"/>
  <c r="G118" i="7" s="1"/>
  <c r="E116" i="7"/>
  <c r="G116" i="7" s="1"/>
  <c r="E114" i="7"/>
  <c r="E115" i="7" s="1"/>
  <c r="G115" i="7" s="1"/>
  <c r="G113" i="7"/>
  <c r="G111" i="7"/>
  <c r="G110" i="7"/>
  <c r="E109" i="7"/>
  <c r="G109" i="7" s="1"/>
  <c r="G108" i="7"/>
  <c r="G107" i="7"/>
  <c r="G105" i="7"/>
  <c r="G104" i="7"/>
  <c r="G103" i="7"/>
  <c r="G93" i="7"/>
  <c r="E92" i="7"/>
  <c r="G92" i="7" s="1"/>
  <c r="E91" i="7"/>
  <c r="G91" i="7" s="1"/>
  <c r="E90" i="7"/>
  <c r="G90" i="7" s="1"/>
  <c r="G89" i="7"/>
  <c r="G88" i="7"/>
  <c r="G87" i="7"/>
  <c r="G86" i="7"/>
  <c r="G85" i="7"/>
  <c r="G83" i="7"/>
  <c r="G82" i="7"/>
  <c r="G81" i="7"/>
  <c r="G80" i="7"/>
  <c r="G79" i="7"/>
  <c r="G78" i="7"/>
  <c r="G77" i="7"/>
  <c r="G75" i="7"/>
  <c r="G74" i="7"/>
  <c r="G73" i="7"/>
  <c r="G72" i="7"/>
  <c r="G71" i="7"/>
  <c r="G70" i="7"/>
  <c r="G69" i="7"/>
  <c r="G68" i="7"/>
  <c r="G67" i="7"/>
  <c r="G66" i="7"/>
  <c r="G65" i="7"/>
  <c r="G64" i="7"/>
  <c r="G63" i="7"/>
  <c r="G62" i="7"/>
  <c r="G61" i="7"/>
  <c r="G60" i="7"/>
  <c r="G59" i="7"/>
  <c r="G56" i="7"/>
  <c r="G55" i="7"/>
  <c r="G52" i="7"/>
  <c r="G50" i="7"/>
  <c r="G48" i="7"/>
  <c r="G45" i="7"/>
  <c r="G114" i="6"/>
  <c r="G113" i="6"/>
  <c r="G112" i="6"/>
  <c r="G111" i="6"/>
  <c r="G97" i="6"/>
  <c r="G84" i="6"/>
  <c r="G83" i="6"/>
  <c r="G82" i="6"/>
  <c r="G80" i="6"/>
  <c r="G77" i="6"/>
  <c r="G75" i="6"/>
  <c r="G74" i="6"/>
  <c r="G72" i="6"/>
  <c r="G71" i="6"/>
  <c r="G70" i="6"/>
  <c r="G69" i="6"/>
  <c r="G68" i="6"/>
  <c r="G67" i="6"/>
  <c r="G66" i="6"/>
  <c r="G65" i="6"/>
  <c r="G64" i="6"/>
  <c r="G63" i="6"/>
  <c r="G62" i="6"/>
  <c r="G61" i="6"/>
  <c r="G60" i="6"/>
  <c r="G59" i="6"/>
  <c r="G57" i="6"/>
  <c r="G56" i="6"/>
  <c r="G55" i="6"/>
  <c r="G53" i="6"/>
  <c r="G52" i="6"/>
  <c r="G51" i="6"/>
  <c r="G50" i="6"/>
  <c r="G49" i="6"/>
  <c r="G48" i="6"/>
  <c r="G112" i="2"/>
  <c r="E119" i="4"/>
  <c r="G119" i="4" s="1"/>
  <c r="H118" i="4"/>
  <c r="G118" i="4"/>
  <c r="E117" i="4"/>
  <c r="H117" i="4" s="1"/>
  <c r="E116" i="4"/>
  <c r="E99" i="4"/>
  <c r="G150" i="4"/>
  <c r="G143" i="4"/>
  <c r="G142" i="4"/>
  <c r="E145" i="4"/>
  <c r="G149" i="4" s="1"/>
  <c r="H143" i="4"/>
  <c r="E114" i="4"/>
  <c r="G114" i="4" s="1"/>
  <c r="E98" i="4"/>
  <c r="E97" i="4" s="1"/>
  <c r="G97" i="4" s="1"/>
  <c r="G95" i="4"/>
  <c r="H91" i="4"/>
  <c r="G92" i="4"/>
  <c r="H89" i="4"/>
  <c r="H90" i="4"/>
  <c r="G89" i="4"/>
  <c r="G90" i="4"/>
  <c r="H88" i="4"/>
  <c r="G88" i="4"/>
  <c r="E84" i="4"/>
  <c r="G84" i="4" s="1"/>
  <c r="E81" i="4"/>
  <c r="H82" i="4"/>
  <c r="E82" i="4"/>
  <c r="G82" i="4" s="1"/>
  <c r="G79" i="4"/>
  <c r="E77" i="4"/>
  <c r="G77" i="4" s="1"/>
  <c r="H76" i="4"/>
  <c r="G76" i="4"/>
  <c r="E75" i="4"/>
  <c r="H75" i="4" s="1"/>
  <c r="H73" i="4"/>
  <c r="G73" i="4"/>
  <c r="H72" i="4"/>
  <c r="G72" i="4"/>
  <c r="G70" i="4"/>
  <c r="E137" i="4"/>
  <c r="G137" i="4" s="1"/>
  <c r="H69" i="4"/>
  <c r="G69" i="4"/>
  <c r="H68" i="4"/>
  <c r="G68" i="4"/>
  <c r="G46" i="4"/>
  <c r="G67" i="4"/>
  <c r="G66" i="4"/>
  <c r="H50" i="4"/>
  <c r="G50" i="4"/>
  <c r="G51" i="4"/>
  <c r="G65" i="4"/>
  <c r="H70" i="4"/>
  <c r="G63" i="4"/>
  <c r="G62" i="4"/>
  <c r="E58" i="4"/>
  <c r="G58" i="4" s="1"/>
  <c r="E122" i="3"/>
  <c r="G122" i="3" s="1"/>
  <c r="E123" i="3"/>
  <c r="G123" i="3" s="1"/>
  <c r="G129" i="3"/>
  <c r="H57" i="4"/>
  <c r="G57" i="4"/>
  <c r="E55" i="4"/>
  <c r="G55" i="4" s="1"/>
  <c r="G56" i="4"/>
  <c r="G48" i="4"/>
  <c r="E47" i="4"/>
  <c r="E152" i="4"/>
  <c r="G152" i="4" s="1"/>
  <c r="E151" i="4"/>
  <c r="G151" i="4" s="1"/>
  <c r="E138" i="4"/>
  <c r="G136" i="4"/>
  <c r="E132" i="4"/>
  <c r="E129" i="4"/>
  <c r="E128" i="4"/>
  <c r="E125" i="4"/>
  <c r="E124" i="4"/>
  <c r="E120" i="4"/>
  <c r="E122" i="4" s="1"/>
  <c r="G122" i="4" s="1"/>
  <c r="E87" i="4"/>
  <c r="H87" i="4" s="1"/>
  <c r="E86" i="4"/>
  <c r="H86" i="4" s="1"/>
  <c r="E80" i="4"/>
  <c r="H80" i="4" s="1"/>
  <c r="E78" i="4"/>
  <c r="H78" i="4" s="1"/>
  <c r="E71" i="4"/>
  <c r="H71" i="4" s="1"/>
  <c r="E64" i="4"/>
  <c r="G64" i="4" s="1"/>
  <c r="E60" i="4"/>
  <c r="H60" i="4" s="1"/>
  <c r="E59" i="4"/>
  <c r="E61" i="4" s="1"/>
  <c r="H61" i="4" s="1"/>
  <c r="E54" i="4"/>
  <c r="H54" i="4" s="1"/>
  <c r="E78" i="3"/>
  <c r="G78" i="3" s="1"/>
  <c r="E76" i="3"/>
  <c r="E79" i="3"/>
  <c r="H79" i="3" s="1"/>
  <c r="E75" i="3"/>
  <c r="G75" i="3" s="1"/>
  <c r="H72" i="3"/>
  <c r="G70" i="3"/>
  <c r="G69" i="3"/>
  <c r="G68" i="3"/>
  <c r="G72" i="3"/>
  <c r="G73" i="3"/>
  <c r="G71" i="3"/>
  <c r="H71" i="3"/>
  <c r="G65" i="3"/>
  <c r="G62" i="3"/>
  <c r="G49" i="3"/>
  <c r="G48" i="3"/>
  <c r="H61" i="3"/>
  <c r="G61" i="3"/>
  <c r="H58" i="3"/>
  <c r="G58" i="3"/>
  <c r="H50" i="3"/>
  <c r="H51" i="3"/>
  <c r="G52" i="3"/>
  <c r="G55" i="3"/>
  <c r="G51" i="3"/>
  <c r="H55" i="3"/>
  <c r="G46" i="3"/>
  <c r="H85" i="3"/>
  <c r="G84" i="3"/>
  <c r="E83" i="3"/>
  <c r="G83" i="3" s="1"/>
  <c r="H126" i="3"/>
  <c r="G126" i="3"/>
  <c r="E120" i="3"/>
  <c r="G119" i="3"/>
  <c r="E125" i="3"/>
  <c r="H125" i="3" s="1"/>
  <c r="E66" i="3"/>
  <c r="G66" i="3" s="1"/>
  <c r="E60" i="3"/>
  <c r="G60" i="3" s="1"/>
  <c r="E59" i="3"/>
  <c r="G59" i="3" s="1"/>
  <c r="E57" i="3"/>
  <c r="G57" i="3" s="1"/>
  <c r="E54" i="3"/>
  <c r="G54" i="3" s="1"/>
  <c r="E53" i="3"/>
  <c r="E45" i="3"/>
  <c r="H45" i="3" s="1"/>
  <c r="E87" i="3"/>
  <c r="G87" i="3" s="1"/>
  <c r="E109" i="3"/>
  <c r="G109" i="3" s="1"/>
  <c r="E96" i="3"/>
  <c r="G96" i="3" s="1"/>
  <c r="E91" i="3"/>
  <c r="G91" i="3" s="1"/>
  <c r="E89" i="3"/>
  <c r="H89" i="3" s="1"/>
  <c r="E130" i="3"/>
  <c r="H130" i="3" s="1"/>
  <c r="E128" i="3"/>
  <c r="E127" i="3"/>
  <c r="H127" i="3" s="1"/>
  <c r="E124" i="3"/>
  <c r="G124" i="3" s="1"/>
  <c r="E121" i="3"/>
  <c r="E118" i="3"/>
  <c r="H118" i="3" s="1"/>
  <c r="G115" i="3"/>
  <c r="E112" i="3"/>
  <c r="H112" i="3" s="1"/>
  <c r="E111" i="3"/>
  <c r="H111" i="3" s="1"/>
  <c r="E107" i="3"/>
  <c r="H107" i="3" s="1"/>
  <c r="E106" i="3"/>
  <c r="G106" i="3" s="1"/>
  <c r="E95" i="3"/>
  <c r="G95" i="3" s="1"/>
  <c r="E93" i="3"/>
  <c r="E92" i="3"/>
  <c r="H92" i="3" s="1"/>
  <c r="G102" i="2"/>
  <c r="E83" i="2"/>
  <c r="H83" i="2" s="1"/>
  <c r="E87" i="2" s="1"/>
  <c r="G87" i="2" s="1"/>
  <c r="E85" i="2"/>
  <c r="H85" i="2"/>
  <c r="G46" i="2"/>
  <c r="E47" i="2"/>
  <c r="H47" i="2" s="1"/>
  <c r="E48" i="2"/>
  <c r="H48" i="2" s="1"/>
  <c r="E49" i="2"/>
  <c r="E50" i="2"/>
  <c r="G50" i="2" s="1"/>
  <c r="G51" i="2"/>
  <c r="H51" i="2"/>
  <c r="E60" i="2"/>
  <c r="G60" i="2" s="1"/>
  <c r="E63" i="2"/>
  <c r="G63" i="2" s="1"/>
  <c r="G65" i="2"/>
  <c r="G66" i="2"/>
  <c r="E68" i="2"/>
  <c r="G68" i="2" s="1"/>
  <c r="E69" i="2"/>
  <c r="G69" i="2" s="1"/>
  <c r="G70" i="2"/>
  <c r="E74" i="2"/>
  <c r="G74" i="2" s="1"/>
  <c r="E77" i="2"/>
  <c r="G77" i="2" s="1"/>
  <c r="E50" i="1"/>
  <c r="H50" i="1" s="1"/>
  <c r="E52" i="1"/>
  <c r="G52" i="1" s="1"/>
  <c r="G54" i="1"/>
  <c r="H54" i="1"/>
  <c r="E59" i="1"/>
  <c r="H59" i="1" s="1"/>
  <c r="E63" i="1"/>
  <c r="G63" i="1" s="1"/>
  <c r="E75" i="1"/>
  <c r="E76" i="1"/>
  <c r="E83" i="1"/>
  <c r="E84" i="1"/>
  <c r="E85" i="1"/>
  <c r="E86" i="1"/>
  <c r="E88" i="1"/>
  <c r="E89" i="1"/>
  <c r="E91" i="1"/>
  <c r="E92" i="1"/>
  <c r="E94" i="1"/>
  <c r="E95" i="1"/>
  <c r="E97" i="1"/>
  <c r="H97" i="1" s="1"/>
  <c r="E99" i="1"/>
  <c r="G99" i="1" s="1"/>
  <c r="E101" i="1"/>
  <c r="E106" i="1"/>
  <c r="H106" i="1" s="1"/>
  <c r="G107" i="1"/>
  <c r="H107" i="1"/>
  <c r="E109" i="1"/>
  <c r="E110" i="1"/>
  <c r="G111" i="1"/>
  <c r="H111" i="1"/>
  <c r="E112" i="1"/>
  <c r="H112" i="1" s="1"/>
  <c r="E113" i="1"/>
  <c r="G113" i="1" s="1"/>
  <c r="G114" i="1"/>
  <c r="H114" i="1"/>
  <c r="G116" i="1"/>
  <c r="H116" i="1"/>
  <c r="G117" i="1"/>
  <c r="H117" i="1"/>
  <c r="E118" i="1"/>
  <c r="G118" i="1" s="1"/>
  <c r="G119" i="1"/>
  <c r="H119" i="1"/>
  <c r="G121" i="1"/>
  <c r="H121" i="1"/>
  <c r="G122" i="1"/>
  <c r="H122" i="1"/>
  <c r="G123" i="1"/>
  <c r="H123" i="1"/>
  <c r="G124" i="1"/>
  <c r="H124" i="1"/>
  <c r="E125" i="1"/>
  <c r="E127" i="1"/>
  <c r="G127" i="1" s="1"/>
  <c r="G135" i="1"/>
  <c r="E136" i="1"/>
  <c r="G136" i="1" s="1"/>
  <c r="G137" i="1"/>
  <c r="G138" i="1"/>
  <c r="E139" i="1"/>
  <c r="G139" i="1" s="1"/>
  <c r="G141" i="1"/>
  <c r="G142" i="1"/>
  <c r="E143" i="1"/>
  <c r="G143" i="1" s="1"/>
  <c r="E145" i="1"/>
  <c r="G145" i="1" s="1"/>
  <c r="G147" i="1"/>
  <c r="E148" i="1"/>
  <c r="G148" i="1" s="1"/>
  <c r="G149" i="1"/>
  <c r="E153" i="1"/>
  <c r="E154" i="1"/>
  <c r="G154" i="1" s="1"/>
  <c r="E156" i="1"/>
  <c r="H156" i="1" s="1"/>
  <c r="E158" i="1"/>
  <c r="G158" i="1" s="1"/>
  <c r="E160" i="1"/>
  <c r="H160" i="1" s="1"/>
  <c r="G165" i="1"/>
  <c r="H165" i="1"/>
  <c r="G166" i="1"/>
  <c r="H166" i="1"/>
  <c r="G167" i="1"/>
  <c r="H167" i="1"/>
  <c r="G168" i="1"/>
  <c r="H168" i="1"/>
  <c r="G169" i="1"/>
  <c r="H169" i="1"/>
  <c r="E170" i="1"/>
  <c r="G170" i="1" s="1"/>
  <c r="E178" i="1"/>
  <c r="G178" i="1" s="1"/>
  <c r="E180" i="1"/>
  <c r="G180" i="1" s="1"/>
  <c r="H182" i="1"/>
  <c r="G184" i="1"/>
  <c r="H184" i="1"/>
  <c r="G185" i="1"/>
  <c r="H185" i="1"/>
  <c r="G186" i="1"/>
  <c r="H186" i="1"/>
  <c r="G187" i="1"/>
  <c r="H187" i="1"/>
  <c r="E188" i="1"/>
  <c r="G188" i="1" s="1"/>
  <c r="E190" i="1"/>
  <c r="H190" i="1" s="1"/>
  <c r="E192" i="1"/>
  <c r="H195" i="1"/>
  <c r="E197" i="1"/>
  <c r="G197" i="1" s="1"/>
  <c r="E199" i="1"/>
  <c r="H199" i="1" s="1"/>
  <c r="E201" i="1"/>
  <c r="G201" i="1" s="1"/>
  <c r="E202" i="1"/>
  <c r="G202" i="1" s="1"/>
  <c r="E204" i="1"/>
  <c r="H204" i="1" s="1"/>
  <c r="E206" i="1"/>
  <c r="H206" i="1" s="1"/>
  <c r="E208" i="1"/>
  <c r="H208" i="1" s="1"/>
  <c r="E210" i="1"/>
  <c r="G210" i="1" s="1"/>
  <c r="G214" i="1"/>
  <c r="G215" i="1"/>
  <c r="G216" i="1"/>
  <c r="G218" i="1"/>
  <c r="E219" i="1"/>
  <c r="G219" i="1" s="1"/>
  <c r="G220" i="1"/>
  <c r="G221" i="1"/>
  <c r="G222" i="1"/>
  <c r="G223" i="1"/>
  <c r="G85" i="3"/>
  <c r="G130" i="4"/>
  <c r="H103" i="4"/>
  <c r="E98" i="2"/>
  <c r="G95" i="2"/>
  <c r="G93" i="2"/>
  <c r="E117" i="7"/>
  <c r="G117" i="7" s="1"/>
  <c r="G114" i="7"/>
  <c r="E104" i="4"/>
  <c r="G104" i="4" s="1"/>
  <c r="E106" i="4"/>
  <c r="H106" i="4" s="1"/>
  <c r="G103" i="4"/>
  <c r="G120" i="4"/>
  <c r="G75" i="4"/>
  <c r="G59" i="4"/>
  <c r="H59" i="4"/>
  <c r="G60" i="4"/>
  <c r="H106" i="3"/>
  <c r="G86" i="2"/>
  <c r="H87" i="2"/>
  <c r="G68" i="1"/>
  <c r="E71" i="1"/>
  <c r="H71" i="1" s="1"/>
  <c r="G66" i="1"/>
  <c r="H101" i="2"/>
  <c r="E104" i="2" s="1"/>
  <c r="G104" i="2" s="1"/>
  <c r="H170" i="1"/>
  <c r="G97" i="1"/>
  <c r="G101" i="1"/>
  <c r="E91" i="2"/>
  <c r="G91" i="2" s="1"/>
  <c r="G47" i="2"/>
  <c r="G82" i="2"/>
  <c r="E55" i="2"/>
  <c r="G55" i="2" s="1"/>
  <c r="G89" i="2"/>
  <c r="H93" i="2"/>
  <c r="E99" i="2" s="1"/>
  <c r="G99" i="2" s="1"/>
  <c r="G48" i="2"/>
  <c r="G85" i="2"/>
  <c r="G103" i="2"/>
  <c r="G80" i="2"/>
  <c r="H106" i="2"/>
  <c r="H98" i="2"/>
  <c r="G98" i="2"/>
  <c r="J547" i="13"/>
  <c r="J67" i="13" s="1"/>
  <c r="E48" i="13"/>
  <c r="BK874" i="13" l="1"/>
  <c r="J874" i="13" s="1"/>
  <c r="J71" i="13" s="1"/>
  <c r="BK169" i="13"/>
  <c r="J169" i="13" s="1"/>
  <c r="J63" i="13" s="1"/>
  <c r="BK884" i="13"/>
  <c r="J884" i="13" s="1"/>
  <c r="J72" i="13" s="1"/>
  <c r="F89" i="13"/>
  <c r="I86" i="19"/>
  <c r="I66" i="19"/>
  <c r="I70" i="19"/>
  <c r="I25" i="19"/>
  <c r="I102" i="19"/>
  <c r="I114" i="19"/>
  <c r="G164" i="8"/>
  <c r="E62" i="8"/>
  <c r="G62" i="8" s="1"/>
  <c r="G48" i="8"/>
  <c r="E50" i="8"/>
  <c r="G50" i="8" s="1"/>
  <c r="G47" i="8"/>
  <c r="G49" i="8"/>
  <c r="J86" i="13"/>
  <c r="G26" i="14"/>
  <c r="G86" i="14"/>
  <c r="G31" i="14"/>
  <c r="G48" i="14"/>
  <c r="H202" i="1"/>
  <c r="G50" i="1"/>
  <c r="H127" i="1"/>
  <c r="E108" i="1"/>
  <c r="H68" i="1"/>
  <c r="H158" i="1"/>
  <c r="H52" i="1"/>
  <c r="H99" i="1"/>
  <c r="G65" i="1"/>
  <c r="G206" i="1"/>
  <c r="E82" i="1"/>
  <c r="G82" i="1" s="1"/>
  <c r="E93" i="1"/>
  <c r="G93" i="1" s="1"/>
  <c r="G71" i="1"/>
  <c r="G160" i="1"/>
  <c r="G190" i="1"/>
  <c r="E87" i="1"/>
  <c r="G87" i="1" s="1"/>
  <c r="G59" i="1"/>
  <c r="H210" i="1"/>
  <c r="G112" i="1"/>
  <c r="E60" i="1"/>
  <c r="G60" i="1" s="1"/>
  <c r="H56" i="1"/>
  <c r="E90" i="1"/>
  <c r="G90" i="1" s="1"/>
  <c r="E74" i="1"/>
  <c r="G74" i="1" s="1"/>
  <c r="G199" i="1"/>
  <c r="H180" i="1"/>
  <c r="H201" i="1"/>
  <c r="G208" i="1"/>
  <c r="H61" i="1"/>
  <c r="G104" i="1"/>
  <c r="G150" i="1"/>
  <c r="H113" i="1"/>
  <c r="G156" i="1"/>
  <c r="H178" i="1"/>
  <c r="H197" i="1"/>
  <c r="H63" i="1"/>
  <c r="H118" i="1"/>
  <c r="H57" i="1"/>
  <c r="E78" i="1"/>
  <c r="G78" i="1" s="1"/>
  <c r="G62" i="1"/>
  <c r="H188" i="1"/>
  <c r="G204" i="1"/>
  <c r="H154" i="1"/>
  <c r="G134" i="7"/>
  <c r="G12" i="7" s="1"/>
  <c r="H107" i="2"/>
  <c r="H97" i="2"/>
  <c r="G97" i="2"/>
  <c r="E75" i="2"/>
  <c r="G75" i="2" s="1"/>
  <c r="H50" i="2"/>
  <c r="E108" i="2"/>
  <c r="G108" i="2" s="1"/>
  <c r="G83" i="2"/>
  <c r="G102" i="6"/>
  <c r="E99" i="6"/>
  <c r="E105" i="6" s="1"/>
  <c r="G47" i="4"/>
  <c r="E113" i="4"/>
  <c r="E126" i="4"/>
  <c r="G126" i="4" s="1"/>
  <c r="G71" i="4"/>
  <c r="E111" i="4"/>
  <c r="G111" i="4" s="1"/>
  <c r="H110" i="4"/>
  <c r="E112" i="4" s="1"/>
  <c r="G112" i="4" s="1"/>
  <c r="G108" i="4"/>
  <c r="E154" i="4"/>
  <c r="G154" i="4" s="1"/>
  <c r="H145" i="4"/>
  <c r="G106" i="4"/>
  <c r="E100" i="4"/>
  <c r="G100" i="4" s="1"/>
  <c r="G80" i="4"/>
  <c r="G117" i="4"/>
  <c r="E123" i="4"/>
  <c r="H111" i="4"/>
  <c r="G54" i="4"/>
  <c r="H84" i="4"/>
  <c r="G86" i="4"/>
  <c r="G78" i="4"/>
  <c r="G145" i="4"/>
  <c r="H126" i="4"/>
  <c r="G87" i="4"/>
  <c r="H55" i="4"/>
  <c r="H57" i="3"/>
  <c r="G112" i="3"/>
  <c r="G125" i="3"/>
  <c r="G130" i="3"/>
  <c r="G86" i="3"/>
  <c r="G107" i="3"/>
  <c r="G118" i="3"/>
  <c r="H123" i="3"/>
  <c r="H59" i="3"/>
  <c r="H116" i="3"/>
  <c r="H83" i="3"/>
  <c r="H124" i="3"/>
  <c r="G89" i="3"/>
  <c r="E117" i="3"/>
  <c r="G145" i="3"/>
  <c r="G45" i="3"/>
  <c r="G144" i="3"/>
  <c r="H54" i="3"/>
  <c r="G92" i="3"/>
  <c r="G127" i="3"/>
  <c r="G79" i="3"/>
  <c r="G153" i="1"/>
  <c r="H153" i="1"/>
  <c r="G144" i="1"/>
  <c r="G93" i="3"/>
  <c r="H93" i="3"/>
  <c r="E77" i="3"/>
  <c r="G77" i="3" s="1"/>
  <c r="G76" i="3"/>
  <c r="H132" i="4"/>
  <c r="G132" i="4"/>
  <c r="G81" i="4"/>
  <c r="H81" i="4"/>
  <c r="I50" i="19"/>
  <c r="P547" i="13"/>
  <c r="BK873" i="13"/>
  <c r="J873" i="13" s="1"/>
  <c r="J70" i="13" s="1"/>
  <c r="H92" i="2"/>
  <c r="G92" i="2"/>
  <c r="G78" i="14"/>
  <c r="P134" i="13"/>
  <c r="P93" i="13" s="1"/>
  <c r="P92" i="13" s="1"/>
  <c r="R547" i="13"/>
  <c r="H125" i="1"/>
  <c r="G125" i="1"/>
  <c r="G138" i="4"/>
  <c r="E139" i="4"/>
  <c r="H41" i="19"/>
  <c r="I32" i="19" s="1"/>
  <c r="I6" i="19" s="1"/>
  <c r="E42" i="19"/>
  <c r="H42" i="19" s="1"/>
  <c r="I98" i="19"/>
  <c r="R134" i="13"/>
  <c r="BK512" i="13"/>
  <c r="J512" i="13"/>
  <c r="BE512" i="13" s="1"/>
  <c r="J33" i="13" s="1"/>
  <c r="BK499" i="13"/>
  <c r="J499" i="13"/>
  <c r="BE499" i="13" s="1"/>
  <c r="F33" i="13" s="1"/>
  <c r="G111" i="3"/>
  <c r="G128" i="3"/>
  <c r="H128" i="3"/>
  <c r="H60" i="3"/>
  <c r="G106" i="1"/>
  <c r="H53" i="3"/>
  <c r="G53" i="3"/>
  <c r="G61" i="4"/>
  <c r="E107" i="6"/>
  <c r="G107" i="6" s="1"/>
  <c r="H162" i="1"/>
  <c r="G162" i="1"/>
  <c r="E164" i="1"/>
  <c r="G164" i="1" s="1"/>
  <c r="E86" i="8"/>
  <c r="G86" i="8" s="1"/>
  <c r="G84" i="8"/>
  <c r="G69" i="17"/>
  <c r="F36" i="13"/>
  <c r="J34" i="13"/>
  <c r="F34" i="13"/>
  <c r="T169" i="13"/>
  <c r="BK572" i="13"/>
  <c r="J572" i="13" s="1"/>
  <c r="J68" i="13" s="1"/>
  <c r="G120" i="3"/>
  <c r="H120" i="3"/>
  <c r="H49" i="2"/>
  <c r="G49" i="2"/>
  <c r="G44" i="2" s="1"/>
  <c r="G12" i="2" s="1"/>
  <c r="H121" i="3"/>
  <c r="G121" i="3"/>
  <c r="G22" i="14"/>
  <c r="F37" i="13"/>
  <c r="F35" i="13"/>
  <c r="T547" i="13"/>
  <c r="T93" i="13" s="1"/>
  <c r="T92" i="13" s="1"/>
  <c r="E64" i="2"/>
  <c r="G64" i="2" s="1"/>
  <c r="G192" i="1"/>
  <c r="H192" i="1"/>
  <c r="H101" i="1"/>
  <c r="E103" i="1"/>
  <c r="H47" i="4"/>
  <c r="G61" i="17"/>
  <c r="G11" i="20"/>
  <c r="I46" i="19"/>
  <c r="P249" i="13"/>
  <c r="G116" i="4"/>
  <c r="H116" i="4"/>
  <c r="G105" i="4"/>
  <c r="H105" i="4"/>
  <c r="R572" i="13"/>
  <c r="R93" i="13" s="1"/>
  <c r="R92" i="13" s="1"/>
  <c r="G94" i="3"/>
  <c r="G128" i="1"/>
  <c r="E129" i="1"/>
  <c r="G129" i="1" s="1"/>
  <c r="F39" i="10" l="1"/>
  <c r="E64" i="8"/>
  <c r="G64" i="8" s="1"/>
  <c r="G89" i="14"/>
  <c r="G96" i="1"/>
  <c r="E72" i="1"/>
  <c r="G72" i="1" s="1"/>
  <c r="G99" i="6"/>
  <c r="G113" i="4"/>
  <c r="H113" i="4"/>
  <c r="E101" i="4"/>
  <c r="G101" i="4" s="1"/>
  <c r="G123" i="4"/>
  <c r="H123" i="4"/>
  <c r="H44" i="4"/>
  <c r="E147" i="4" s="1"/>
  <c r="G147" i="4" s="1"/>
  <c r="G117" i="3"/>
  <c r="G13" i="3" s="1"/>
  <c r="F31" i="10" s="1"/>
  <c r="H117" i="3"/>
  <c r="F29" i="10"/>
  <c r="G14" i="2"/>
  <c r="F34" i="10"/>
  <c r="G14" i="7"/>
  <c r="G13" i="20"/>
  <c r="F35" i="10"/>
  <c r="G103" i="1"/>
  <c r="H103" i="1"/>
  <c r="E130" i="1" s="1"/>
  <c r="G130" i="1" s="1"/>
  <c r="G72" i="17"/>
  <c r="BK249" i="13"/>
  <c r="G139" i="4"/>
  <c r="E140" i="4"/>
  <c r="G140" i="4" s="1"/>
  <c r="E141" i="4"/>
  <c r="G141" i="4" s="1"/>
  <c r="G105" i="6"/>
  <c r="E106" i="6"/>
  <c r="G106" i="6" s="1"/>
  <c r="F37" i="10" l="1"/>
  <c r="E65" i="8"/>
  <c r="G65" i="8" s="1"/>
  <c r="G44" i="8" s="1"/>
  <c r="G14" i="8" s="1"/>
  <c r="G90" i="14"/>
  <c r="G91" i="14" s="1"/>
  <c r="G12" i="1"/>
  <c r="F36" i="10" s="1"/>
  <c r="G13" i="6"/>
  <c r="F33" i="10" s="1"/>
  <c r="G44" i="4"/>
  <c r="G15" i="4" s="1"/>
  <c r="G16" i="4" s="1"/>
  <c r="G17" i="4" s="1"/>
  <c r="G15" i="3"/>
  <c r="G73" i="17"/>
  <c r="G74" i="17" s="1"/>
  <c r="G14" i="20"/>
  <c r="G15" i="20" s="1"/>
  <c r="G15" i="7"/>
  <c r="G16" i="7" s="1"/>
  <c r="J249" i="13"/>
  <c r="J65" i="13" s="1"/>
  <c r="BK93" i="13"/>
  <c r="G15" i="2"/>
  <c r="G16" i="2" s="1"/>
  <c r="G14" i="1" l="1"/>
  <c r="G15" i="1" s="1"/>
  <c r="G16" i="1" s="1"/>
  <c r="G15" i="6"/>
  <c r="G16" i="6" s="1"/>
  <c r="G13" i="4"/>
  <c r="F32" i="10" s="1"/>
  <c r="G16" i="3"/>
  <c r="G17" i="3" s="1"/>
  <c r="G18" i="3" s="1"/>
  <c r="G20" i="3" s="1"/>
  <c r="G18" i="4"/>
  <c r="G20" i="4" s="1"/>
  <c r="G17" i="7"/>
  <c r="G19" i="7" s="1"/>
  <c r="G16" i="20"/>
  <c r="G18" i="20" s="1"/>
  <c r="F38" i="10"/>
  <c r="G16" i="8"/>
  <c r="G17" i="2"/>
  <c r="G19" i="2" s="1"/>
  <c r="BK92" i="13"/>
  <c r="J92" i="13" s="1"/>
  <c r="J93" i="13"/>
  <c r="J60" i="13" s="1"/>
  <c r="G17" i="6" l="1"/>
  <c r="G18" i="6" s="1"/>
  <c r="G20" i="6" s="1"/>
  <c r="G17" i="1"/>
  <c r="G19" i="1" s="1"/>
  <c r="J59" i="13"/>
  <c r="J30" i="13"/>
  <c r="G17" i="8"/>
  <c r="G18" i="8" s="1"/>
  <c r="F30" i="10" l="1"/>
  <c r="F22" i="10" s="1"/>
  <c r="J39" i="13"/>
  <c r="G19" i="8"/>
  <c r="G21" i="8" s="1"/>
  <c r="F23" i="10" l="1"/>
  <c r="F24" i="10" s="1"/>
  <c r="F25" i="10" l="1"/>
  <c r="F26" i="10" s="1"/>
</calcChain>
</file>

<file path=xl/sharedStrings.xml><?xml version="1.0" encoding="utf-8"?>
<sst xmlns="http://schemas.openxmlformats.org/spreadsheetml/2006/main" count="13888" uniqueCount="2636">
  <si>
    <t>Fontána - stavební řešení</t>
  </si>
  <si>
    <t>Základy fontány, palisády a sochy</t>
  </si>
  <si>
    <t>m3</t>
  </si>
  <si>
    <t>podkladní (ochranný) beton  100 mm</t>
  </si>
  <si>
    <t>penetrační nátěr</t>
  </si>
  <si>
    <t>skladba A</t>
  </si>
  <si>
    <t xml:space="preserve">dlažba kamenná  dl    60 mm  čsn736131 </t>
  </si>
  <si>
    <t>štěrkodrť  šd  150 mm  čsn736126_1,2</t>
  </si>
  <si>
    <t>skladba B</t>
  </si>
  <si>
    <t>betonová mazanina  100 mm</t>
  </si>
  <si>
    <t>rostlý terén</t>
  </si>
  <si>
    <t>cihelná přizdívka     150 mm</t>
  </si>
  <si>
    <t>obsyp zhutněným štěrkopískem</t>
  </si>
  <si>
    <t xml:space="preserve">rostlý terén </t>
  </si>
  <si>
    <t>skladba D</t>
  </si>
  <si>
    <t>m2</t>
  </si>
  <si>
    <t xml:space="preserve"> - v blízkosti inženýrských sítí budou veškeré práce prováděny ručně</t>
  </si>
  <si>
    <t>výměra boky: 0,13*((20,40+2,70+0,05+0,1*2))*2+0,13*(1,35+0,8)</t>
  </si>
  <si>
    <t>výměra spáry:0,05*((20,40+2,70+0,05))*2+0,05*(1,35+0,8)+1,15*0,05*39</t>
  </si>
  <si>
    <t>výměra:((20,40+2,70+0,07+0,1*2))*2+(1,35+0,80)</t>
  </si>
  <si>
    <t>výměra : 1,35*((20,40+2,70-0,25-0,60+0,05+0,1*2))</t>
  </si>
  <si>
    <t>výměra: 1,35*((20,40+2,70-0,25-0,60+0,05+0,1*2))</t>
  </si>
  <si>
    <t>výměra kamenná deska podstupnice:1,35*podstupnice 0,15*12ks)</t>
  </si>
  <si>
    <t>výměra vrstva za nerez. úhelníkem: (0,13+0,13+0,012)*(20,40+2,70+0,05+0,1*2))*2+(0,13+0,13+0,012)*(1,35+0,8)</t>
  </si>
  <si>
    <t>výměra kamenná deska podstupnice:1,15*podstupnice 0,15*12ks)</t>
  </si>
  <si>
    <t>výměra: 1,35*((0,90*7+0,30*7+0,15*2+0,68)+(0,30*7+0,90*5+0,38+1,70)+pod podestu1,00)*2ks+pod stupně 1,75*1,35*2ks*2ks</t>
  </si>
  <si>
    <t>ks</t>
  </si>
  <si>
    <t xml:space="preserve">ks </t>
  </si>
  <si>
    <t>bm</t>
  </si>
  <si>
    <t>Prostup v bet. základu pro potrubí k soše + plotna pro izolaci, chránička a potrubí dl. cca 1600mm, příruba DN 100, izolační manžeta</t>
  </si>
  <si>
    <t>Poznámky všeobecně:</t>
  </si>
  <si>
    <t xml:space="preserve">Palisáda </t>
  </si>
  <si>
    <t>Závitová tyč průměr 20mm do chemické kotvy dl.cca 45cm, 3ks na jeden trám, výměra:88ks*3</t>
  </si>
  <si>
    <t>Technologická šachta</t>
  </si>
  <si>
    <t>železobetonová deska  250 mm</t>
  </si>
  <si>
    <t>výměra:16,53m2*0,10</t>
  </si>
  <si>
    <t>výměra: 28,16m2*0,25-(0,80*0,80)*0,25+(řez 2-2, řez3-3) 0,15*0,30*(0,95*2+0,80)+1,60*1,90*0,25</t>
  </si>
  <si>
    <t>výměra:31,58m2+(řez 2-2, řez3-3) 0,50*(0,80*4)</t>
  </si>
  <si>
    <t>výměra: 31,58m2*0,10+2,20*1,90*0,10</t>
  </si>
  <si>
    <t>výměra: 0,30*2,00*((6,30+2,90)*2+2,70)</t>
  </si>
  <si>
    <t>výměra: 2,45*(6,30+2,90+0,30)*2</t>
  </si>
  <si>
    <t>výměra: 0,15*2,45*(6,30+2,90+0,30)*2</t>
  </si>
  <si>
    <t>výměra: 0,40*2,45*(6,30+2,90+0,30)*2</t>
  </si>
  <si>
    <t>výměra: 0,15*0,53*(0,90+1,20)*2+0,15*0,53*(1,10+1,40)*2</t>
  </si>
  <si>
    <t>Prostupy v technologické šachtě</t>
  </si>
  <si>
    <t>t</t>
  </si>
  <si>
    <t>Dod + Mont</t>
  </si>
  <si>
    <t>230200118/P</t>
  </si>
  <si>
    <t>Dtto, avšak odstranění</t>
  </si>
  <si>
    <t>Zřízení bednění základových desek</t>
  </si>
  <si>
    <t>Dodávka</t>
  </si>
  <si>
    <t>kg</t>
  </si>
  <si>
    <t xml:space="preserve">   fontána 1,45*(0,9*4+1,53*6+0,94*6+0,53)</t>
  </si>
  <si>
    <t xml:space="preserve">    fontána - (pod schody)1,45*(1,25+0,70))</t>
  </si>
  <si>
    <t>389381001/P</t>
  </si>
  <si>
    <t>výměra: 0,02m2*(1,35+0,80)+0,025m2*
(20,40+2,70+0,10*2+0,15*12+0,10)</t>
  </si>
  <si>
    <t>430321414/P</t>
  </si>
  <si>
    <t>275361821/P</t>
  </si>
  <si>
    <t>632441212/P</t>
  </si>
  <si>
    <t>Dtto, avšak svislá - boky</t>
  </si>
  <si>
    <t>1,45*2+0,45*2+1,45*2</t>
  </si>
  <si>
    <t>Podkladní - Základová deska ze ŽB bez zvýšených nároků na prostředí
tř. C 25/30. tl. 150mm</t>
  </si>
  <si>
    <t>součet</t>
  </si>
  <si>
    <t>Montáž</t>
  </si>
  <si>
    <t>0,15*1,35*((0,9*7+0,3*7+0,15*2+0,68)+(0,3*7+0,9*5+0,38+1,7)+1)+0,25*1,35*2</t>
  </si>
  <si>
    <t>výměra: 0,15*1,35*((0,90*7+0,30*7+
0,15*2+0,68)+(0,30*7+0,90*5+0,38+
1,70)+pod podestu1,00)+pod stupně 
0,25m2*1,35*2ks</t>
  </si>
  <si>
    <t>953965131/P</t>
  </si>
  <si>
    <t>dod+mont</t>
  </si>
  <si>
    <t>Nerezový plech 250/250/10, výměra:88ks*0,25*0,25 včetně 3ks otvorů</t>
  </si>
  <si>
    <t>Izolace proti zemní vlhkosti nopovou 
fólií svislá, nopek v 80,0 mm, tl do 2,0 mm</t>
  </si>
  <si>
    <t xml:space="preserve">
výměra:23,90*0,30+4,75m2</t>
  </si>
  <si>
    <t>Kč</t>
  </si>
  <si>
    <t>dodávka</t>
  </si>
  <si>
    <t>Dtto, montáž</t>
  </si>
  <si>
    <t>Hydroizolace stěrková dvousložková, pružná včetně příslušenství (rohy, dilatace, spoje)  tl. 5 mm (vodotěsná izolace), mrazuvzdorná do venkovního prostředí, v.č. D.1.07.08,  -kompletní provedení ; výměra: 26,55m2</t>
  </si>
  <si>
    <t>631311124/P</t>
  </si>
  <si>
    <t>výměra: 3,50*6,30-(0,90*0,90+1,10*1,10)+0,30*2,70*0,10</t>
  </si>
  <si>
    <t>výměra ; 
3,50*6,30-(0,90*0,90+1,10*1,10)+
0,30*2,70+hrdlo šachet 0,53*0,90*4+
(0,15*2+0,30)*(1,20+0,90)*2+0,59*
1,10*4+(0,15*2+0,30)*(1,40+1,10)*2</t>
  </si>
  <si>
    <t>štěrkodrť ložná šd 30 mm čsn736126_1,2</t>
  </si>
  <si>
    <t>Odvětrání technické místností</t>
  </si>
  <si>
    <t>Výztuž základové desky  z oceli B500B při spodním líci viz v.č. D1.07.12;</t>
  </si>
  <si>
    <t>Výztuž základové desky  z oceli B500B při horním líci viz v.č. D1.07.13;</t>
  </si>
  <si>
    <t>Výztuž šachty 800/800  z oceli B500B  viz v.č. D1.07.16;</t>
  </si>
  <si>
    <t>Výztuž šachty 600/600  z oceli B500B  viz v.č. D1.07.17;</t>
  </si>
  <si>
    <t>Výztuž jímky 800/800  z oceli B500B  viz v.č. D1.07.15;</t>
  </si>
  <si>
    <t>Výztuž základových desek svařovanými sítěmi Q188A v.č.D.1.07.13 ;</t>
  </si>
  <si>
    <t>Železobetonová deska tl. 250 mm z 
C 25/30</t>
  </si>
  <si>
    <t>Dtto, avšak výztuž základových desek svařovanými sítěmi 8/100/100 KY 81 viz v.č.D.1.07. 11</t>
  </si>
  <si>
    <t>Výztuž základové desky  z oceli B500B viz v.č. D.1.07.11</t>
  </si>
  <si>
    <t>Dtto, avšak výztuž jímky svařovanými sítěmi 6/100/100 KH30 viz v.č.D.1.07. 11</t>
  </si>
  <si>
    <t>skladba C - stěny technologické šachty</t>
  </si>
  <si>
    <t>627633111/P</t>
  </si>
  <si>
    <t>penetrační nátěr betonových povrchů</t>
  </si>
  <si>
    <t>783823109/P</t>
  </si>
  <si>
    <t>247571113/P</t>
  </si>
  <si>
    <t>Rozpočet</t>
  </si>
  <si>
    <t>název stavby</t>
  </si>
  <si>
    <t>NÁMĚSTÍ BĚCHOVICE</t>
  </si>
  <si>
    <t>název části stavby</t>
  </si>
  <si>
    <t>1</t>
  </si>
  <si>
    <t>Rekapitulace nákladů</t>
  </si>
  <si>
    <t>2</t>
  </si>
  <si>
    <t>3</t>
  </si>
  <si>
    <t>4</t>
  </si>
  <si>
    <t>ZRN  mezisoučet bez DPH 21%</t>
  </si>
  <si>
    <t>5</t>
  </si>
  <si>
    <t xml:space="preserve">GZS </t>
  </si>
  <si>
    <t>6</t>
  </si>
  <si>
    <t xml:space="preserve"> celkem bez DPH 21%</t>
  </si>
  <si>
    <t>7</t>
  </si>
  <si>
    <t>DPH 21%</t>
  </si>
  <si>
    <t>8</t>
  </si>
  <si>
    <t>9</t>
  </si>
  <si>
    <t>Náklady celkem včetně DPH 21%</t>
  </si>
  <si>
    <t>p.č.</t>
  </si>
  <si>
    <t>popis</t>
  </si>
  <si>
    <t>m.
j..</t>
  </si>
  <si>
    <t>počet 
m.j..</t>
  </si>
  <si>
    <t>jednotková cena / m.j.</t>
  </si>
  <si>
    <t>cena celkem</t>
  </si>
  <si>
    <t>Zemní práce</t>
  </si>
  <si>
    <t>celkem</t>
  </si>
  <si>
    <t>12</t>
  </si>
  <si>
    <t>13</t>
  </si>
  <si>
    <t>Vodorovné přemístění betonových  obrub do 200m, se složením, na mezideponii a zpětné použití ; 56,18+68,45+51,1+48,45)*0,06*0,15+(22,00*2bm+127,52bm-(19,00+6,7))*0,15*0,25</t>
  </si>
  <si>
    <t>tlaková impregnace</t>
  </si>
  <si>
    <t>doprava na tlakovou impregnaci</t>
  </si>
  <si>
    <t>doprava na místo realizace</t>
  </si>
  <si>
    <t>povrchová úprava lazurou 
(0,25+0,15)*2*(1,00*80+2,0*8)</t>
  </si>
  <si>
    <t>výměra:  0,25*3,50*6,30-0,25*(0,60*0,60+
0,80*0,80)+0,30*0,20*((6,30+2,90)*2+2,70)+
hrdlo šachet 0,15*0,53*(0,60+0,90)*2+0,30*
0,15*(1,20+0,60)*2+0,15*0,59*
(0,80+1,20)*2+0,30*0,15*(1,40+0,80)*2</t>
  </si>
  <si>
    <t>Bednění desky - zřízení</t>
  </si>
  <si>
    <t>Dtto, avšak - odstranění</t>
  </si>
  <si>
    <t>871315241/P</t>
  </si>
  <si>
    <t>výměra :
(podél Mlad. Běchovic41,41m2+34,56m2+ kolem stání u rybníka8,00m2*2+6,00m2+
podél pozemku u domova důchodců61,31*1,60+ místo kaple7,66*13,25+
svah pod bosketem16,03*5,75+
pod velkými stromy 17,35m2*3+
u Staré pošty 118,69m2+153,37m2+ pod malými stromy2,25m2*8ks)</t>
  </si>
  <si>
    <t>139951121/P</t>
  </si>
  <si>
    <t xml:space="preserve"> výměra ; 1,60 (-0,30m ornice) dle IGP,
výměra:(1,60-0,30)*(2630m2)+svahování u dom. důch.1,28m2*61,31m- svahování podél komunikací 1,28m2*159,68m-stará zasypaná betonová komunikace cca (61,31m d.*6,5m  š.*0,6+40,50*6,50*0,6 )*1,2</t>
  </si>
  <si>
    <t>poznámka : IGP číst současně s oceňováním</t>
  </si>
  <si>
    <t>Dočasné zajištění potrubí z PE DN do 500 mm</t>
  </si>
  <si>
    <t>Rozprostření ornice v tl. 300mm včetně přivezení z mezideponie do 50m</t>
  </si>
  <si>
    <t>460911122/P</t>
  </si>
  <si>
    <t>m</t>
  </si>
  <si>
    <t>SO 301  Kanalizace</t>
  </si>
  <si>
    <t>1)Soupis prací a dodávek  je zpracován dle Vyhlášky 169 ze dne 12.05.2016</t>
  </si>
  <si>
    <t>2) Neopominutelným podkladem  pro ocenění je projektová dokumentace.</t>
  </si>
  <si>
    <t xml:space="preserve">3) Při oceňování díla stavební firmou je PD a TZ technicky i technologicky nadřazena soupisu prací a dodávek s výkazem výměr . Zhotovitel díla odpovídá za to, že provedl kontrolu kompletnosti seznamu operací v soupise prací a dodávek s výkazem výměr a do své nabídky zahrnul veškeré dodávky a kompletní provedení prací nutné k  provedení díla, které je předmětem smlouvy a bude  schopno plnit svoji funkci po dobu několika desítek let.  </t>
  </si>
  <si>
    <t xml:space="preserve">5) Detaily a podrobnosti dle PD </t>
  </si>
  <si>
    <t>6) Likvidace kovových částí: Veškeré kovové části budou před odvozem k prodeji zváženy a jejich hmotnost zapsána do Stavebního deníku. Následně budou odvezeny a prodány jako druhotné suroviny do Kovošrotu za cenu platnou v den prodeje. Jejich výtěžek bude poslán na účet investora ve výši ceny platné v den prodeje.</t>
  </si>
  <si>
    <t>7) Jednotková cena obsahuje přesun hmot, není-li uvedeno samostatně.</t>
  </si>
  <si>
    <t>8) Výměry jsou vykázány odměřením  nebo změřeno digitálně z výkresů PD k příslušnému SO</t>
  </si>
  <si>
    <t xml:space="preserve">9)Hutnění konstrukcí nových i stávajících (po demontáži nášlapných vrstev s ložem): konstrukce pro zpevnění hutnit po jednotlivých podkladních vrstvách  dle PD </t>
  </si>
  <si>
    <t xml:space="preserve">10) Detaily a podrobnosti dle PD </t>
  </si>
  <si>
    <t xml:space="preserve">11) Spárořez dle PD </t>
  </si>
  <si>
    <t>13) Nedílnou součástí Soupisu prací a dodávek s výkazem výměr je Příloha č. 1 - Všeobecné podmínky k Soupisu prací a dodávek.</t>
  </si>
  <si>
    <t>14) Před započetím prací budou ve spolupráci správců sítí vytyčeny veškeré inženýrské sítě</t>
  </si>
  <si>
    <t>15) V blízkosti inženýrských sítí budou veškeré práce prováděny ručně</t>
  </si>
  <si>
    <t>v.č. D.1.03.02</t>
  </si>
  <si>
    <t>Zaústění drenáže do akumulační nádrže</t>
  </si>
  <si>
    <t>Pítko</t>
  </si>
  <si>
    <t>DV2</t>
  </si>
  <si>
    <t>Dvorní vpust DV2, s lapačem nečistot (košem) a zpětnou klapkou, litinový rošt</t>
  </si>
  <si>
    <t>Kanalizační přípojka</t>
  </si>
  <si>
    <t>Kanalizační přípojka DN200- KG2000 SN10, výměra: 1,28bm</t>
  </si>
  <si>
    <t>Napojení nové kanalizační přípojky DN200 do nově vysazené odbočky, navrtávkou, na stoku splaškové kanalizace DN315, viz. detail připojení (způsob napojení bude upřesněn po odhalení stáv. potrubí)</t>
  </si>
  <si>
    <t>Potrubí DN150 - KG2000 SN10, výměra: 1,10bm</t>
  </si>
  <si>
    <t>v.č. D.1.03.05</t>
  </si>
  <si>
    <t>Pažení zátažné, výměra: (19,67-1,58+0,80)*1,75*2ks</t>
  </si>
  <si>
    <t>v.č. D.1.03.03</t>
  </si>
  <si>
    <t>Výkop pro uložení potrubí DN 200,DN 150, výměra: (1,28+1,10)*0,80bm š.*0,65bm hl.</t>
  </si>
  <si>
    <t>Výkop pro uložení potrubí DN 125, výměra: (1,90)*0,80bm š.*0,65bm hl.</t>
  </si>
  <si>
    <t>Akumulační nádrž na dešťovou vodu pro ruční zalévání 22m3</t>
  </si>
  <si>
    <t>Zřízení zátažného pažení a rozepření stěn rýh hl do 2 m</t>
  </si>
  <si>
    <t>185804253/P</t>
  </si>
  <si>
    <t>Výkop pro uložení potrubí DN 150, výměra: (18,44+5,80+4,31+14,45 bm dl.)*0,80bm š.*0,65bm hl.+včetně pro překop silnice(19,67-1,58)*0,80*1,75+1,58*0,80*0,40</t>
  </si>
  <si>
    <t>Zkouška těsnosti do DN125, výměra:1,90bm+1,60bm</t>
  </si>
  <si>
    <t>Zkouška těsnosti do DN200, výměra:38,11+1,60+14,45+1,60+4,31+1,60+5,80+1,00bm</t>
  </si>
  <si>
    <t>Kontrola průtočnosti</t>
  </si>
  <si>
    <t xml:space="preserve">Poznámka : </t>
  </si>
  <si>
    <t>Revizní šachta z betonových prefabrokovaných dílů Ø1000mm s litinovým poklopem B125</t>
  </si>
  <si>
    <t>279361321/P</t>
  </si>
  <si>
    <t>279351311
279351312</t>
  </si>
  <si>
    <t>411354313
411354314</t>
  </si>
  <si>
    <t>411351011  
411351012</t>
  </si>
  <si>
    <t>411361321/P</t>
  </si>
  <si>
    <t>411351011
411351012</t>
  </si>
  <si>
    <t xml:space="preserve">247571000
</t>
  </si>
  <si>
    <t>cca 63126000+osazení+zadláždění</t>
  </si>
  <si>
    <t>PC</t>
  </si>
  <si>
    <t>pro přepad do rybníka</t>
  </si>
  <si>
    <t>2127R1001</t>
  </si>
  <si>
    <t xml:space="preserve">Zaústěná  žlabovka  do štěrbinového žlabu, </t>
  </si>
  <si>
    <t>Hluboká vpust se sifonem, kalovým košem - lapačem nečistot, zpětnou klapkou a příslušenstvím, kompletní provedení (vpust liniového žlabu)</t>
  </si>
  <si>
    <t>72121R002</t>
  </si>
  <si>
    <t>871218213/R</t>
  </si>
  <si>
    <t>894811135/P</t>
  </si>
  <si>
    <t>72121R003</t>
  </si>
  <si>
    <t>469973116/P</t>
  </si>
  <si>
    <t>den</t>
  </si>
  <si>
    <t>SO 302  Vodovod</t>
  </si>
  <si>
    <t>SO 302 Vodovod</t>
  </si>
  <si>
    <t xml:space="preserve">Vodoměrná šachta </t>
  </si>
  <si>
    <t>Propojení k pítku a mlžítku, PE100 SDR11 PN16 32x3,0mm, výměra: 11,35m+1,20bm</t>
  </si>
  <si>
    <t>Propojení ke kapli, PE100 SDR11 PN16 32x3,0mm, výměra: 30,50m</t>
  </si>
  <si>
    <t>Zaslepení potrubí, příprava pro stavbu kaple</t>
  </si>
  <si>
    <t>Čerpání z akumulační nádrže, ponorná automatická vodárna, vodárna s integrovanou elektronickou řídicí jednotkou, která při odběru spouští čerpadlo a po ukončení odběru jej vypíná. Čerpadlo čerpá (spíná) a vypíná automaticky.</t>
  </si>
  <si>
    <t>Výtok užitkové vody bude příslušně označen nápisem UŽITKOVÁ VODA.</t>
  </si>
  <si>
    <t xml:space="preserve">m3 </t>
  </si>
  <si>
    <t>výměra: napojení na vod. řad 1,20*1,80*2ks+ vod. přípojka (8,03bm-0,90bm) d.*1,80bm*2ks hl.+přívod do technolog. šachty (58,84bm-10,14bm) * 1,71bm hl. *2ks+(1,00+0,80)*1,80</t>
  </si>
  <si>
    <t>151 10-1111</t>
  </si>
  <si>
    <t>Odstranění příložného pažení a rozepření stěn rýh hl do 2 m</t>
  </si>
  <si>
    <t>Podsyp pro uložení vodovodního potrubí PE100 SDR11 PN 16 40x3,7mm, pískové zhutněné lože tl. 150mm, výměra:  napojení na vod. řad 1,20*1,00*0,15+ vod. přípojka (8,03bm-0,90bm) d.*0,80bm š.*0,15 hl.+přívod do technolog. šachty (58,84bm-10,14bm) *0,80bm š. * 0,15bm hl.</t>
  </si>
  <si>
    <t>Podsyp pro uložení vodovodního potrubí PE100 SDR11 PN 16 40x3,7mm a PN 16 32x3,00mm, (v místě výkopu zeminy na -1,60), pískové zhutněné lože tl. 150mm, výměra: přívod do technolog. šachty (10,14bm) *0,80bm š.* 0,15bm hl.+(36,50bm+2,05+11,35+28,00)*0,80*0,15</t>
  </si>
  <si>
    <t>- pískový obsyp</t>
  </si>
  <si>
    <t>Hlavní násyp pro uložení vodovodního potrubí PE100 SDR11 PN 16 40x3,7mm, materiál dle PD tl.1150mm, hutněný po vrstvách, výměra: napojení na vod. řad 1,20*1,00*1,15+ vod. přípojka (8,03bm-0,90bm) d.*0,80bm š.*1,15hl.+přívod do technolog. šachty (58,84bm-10,14bm) *0,80bm š. * 1,15bm hl.</t>
  </si>
  <si>
    <t xml:space="preserve">Štěrkopísek frakce 0-32 </t>
  </si>
  <si>
    <t xml:space="preserve">kamenivo přírodní těžené pro stavební účely  PTK  (drobné, hrubé, štěrkopísky) štěrkopísky ČSN 72  1511-2 frakce   0-32 </t>
  </si>
  <si>
    <t>výměra: 52,74*2,054</t>
  </si>
  <si>
    <t>Obnova trávníku</t>
  </si>
  <si>
    <t>uložení zeminy bez zhutnění z hrubým rozhrnutím</t>
  </si>
  <si>
    <t>úprava terénu s rozpojením , přehrnutím a urovnáním</t>
  </si>
  <si>
    <t xml:space="preserve">založení trávníku, plochy do 1000m2 v rovině </t>
  </si>
  <si>
    <t>hnojení minerálním hnojivem 20g/m2 naširoko v rovině</t>
  </si>
  <si>
    <t>zalití ploch vodou, plochy přes 20 m2</t>
  </si>
  <si>
    <t>Souběh a křížení s ostatními inženýrskými sítěmi se bude řídit ČSN 736005 a požadavky správců těchto sítí</t>
  </si>
  <si>
    <t>Výstražná folie bílé barvy, uložená 0,40 m nad potrubím, výměra: 8,03+58,84+39,70+2,05+11,35+30,50bm</t>
  </si>
  <si>
    <t>Protokol o tlakové zkoušce</t>
  </si>
  <si>
    <t>Proplach vodovodního potrubí, výměra: 8,03+58,84+39,70+2,05+11,35+30,50bm</t>
  </si>
  <si>
    <t>Dtto, avšak dezinfekce, výměra: 8,03+58,84+39,70+2,05+11,35+30,50bm</t>
  </si>
  <si>
    <t>Geodetické zaměření</t>
  </si>
  <si>
    <t>Zkouška těsnosti potrubí dle ČSN 756909</t>
  </si>
  <si>
    <t>871171911/R</t>
  </si>
  <si>
    <t>28613640/R</t>
  </si>
  <si>
    <t xml:space="preserve">PC </t>
  </si>
  <si>
    <t>Dtto osazení</t>
  </si>
  <si>
    <t>Výztuž do podkl.desky sítí 8/10/10;  
výměra (3,56m*7,22m)*0,005</t>
  </si>
  <si>
    <t>Dtto, avšak jen osazení</t>
  </si>
  <si>
    <t>871171211
28613640</t>
  </si>
  <si>
    <t>56231180/P</t>
  </si>
  <si>
    <t>185802113/P</t>
  </si>
  <si>
    <t>dodání ornice (tl. 15 cm) ; 6,88m3*1,450</t>
  </si>
  <si>
    <t>58337344</t>
  </si>
  <si>
    <t>Obsyp vhodnou zeminou pro uložení vodovodního potrubí PE100 SDR11 PN 16 40x3,7mm, písek, násyp a hutnění po oboustranách trubky po vrstvách dle PD, tl. 350mm, výměra:  napojení na vod. řad 1,20*1,0*0,35+ vod. přípojka (8,03bm-0,90bm) d.*0,80bm š.*0,35 hl.+přívod do technolog.šachty (58,84bm-10,14bm) 0,80bm š. * 0,35bm hl.</t>
  </si>
  <si>
    <t>Obsyp pro uložení vodovodního potrubí PE100 SDR11 PN 16 40x3,7mm a PN 16 32x3,00mm, (v místě výkopu zeminy na -1,60), pískové zhutněné lože tl. 350mm, výměra: přívod do technolog. šachty (10,14bm) *0,80bm š.* 0,35bm hl.+(36,50bm+2,05+11,35+28,00)*0,80*0,35</t>
  </si>
  <si>
    <t>734292728/P</t>
  </si>
  <si>
    <t>Dtto, avšak specifikace - žebřík šachtový pro dno DN 1000 dl 1,63m (délku upravit dle montážní PD</t>
  </si>
  <si>
    <t>28613850/P +montáž</t>
  </si>
  <si>
    <t xml:space="preserve">5) Detaily a podrobnosti dle PD+TZ  </t>
  </si>
  <si>
    <t>2) Neopominutelným podkladem  pro ocenění je projektová dokumentace a technické zprávy.</t>
  </si>
  <si>
    <t>10) Detaily a podrobnosti dle PD a TZ .</t>
  </si>
  <si>
    <t>275354111
275354211</t>
  </si>
  <si>
    <t>Kotevní šroub pro chemické kotvy M 16 dl 300 mm</t>
  </si>
  <si>
    <t>73319/R191</t>
  </si>
  <si>
    <t>56241658+ montáž</t>
  </si>
  <si>
    <t>451 573111/P</t>
  </si>
  <si>
    <t>Lože pod potrubí, stoky a drobné objekty v otevřeném výkopu z písku a štěrkopísku do 63mm po hutnění 100-150mm (včetně materiálu)</t>
  </si>
  <si>
    <t>Hutněný obsyp potrubí, směs písku, míra zhutnění dle předpisu výrobce potrubí (včetně materiálu)</t>
  </si>
  <si>
    <t>Vodní zásuvka, připojená potrubím DN32 od čerpání, rychlospojný ventil (vodní zásuvce). navržen v mosazném provedení, které je tlakově odolnější, samotný ventil a přípojný klíč, kterým se provádí připojení na rychlospojný ventil, Rychlospojný ventil v šachtici bude obsypán jemným štěrkem. Kompletní provedení</t>
  </si>
  <si>
    <t>Hloubení rýh nezapažených š do 2000 mm v hornině třídy těžitelnosti I, skupiny 3 objem do
 100 m3 strojně</t>
  </si>
  <si>
    <t>Výkop pro uložení vodovodního potrubí PE100 SDR11 PN 16 40x3,7mm, výměra: napojení na vod. řad 1,20*1,00*1,80</t>
  </si>
  <si>
    <t xml:space="preserve">Výkop pro uložení vodovodního potrubí PE100 SDR11 PN 16 40x3,7mm, výměra: napojení na vod. řad  vod. přípojka (8,03bm-0,90bm) d.*0,80bm š.*1,80bm hl.+přívod do technolog. šachty (58,84bm-10,14bm) *0,80bm š. * 1,71bm hl. </t>
  </si>
  <si>
    <t>Hloubení rýh zapažených š do 800 mm v hornině třídy těžitelnosti I, skupiny 3 objem do 100 m3 strojně</t>
  </si>
  <si>
    <t>Výkop pro vodoměrnou šachtu, výměra: (1,625+0,70*2)*(1,325+0,70*2)*2,00</t>
  </si>
  <si>
    <t>Hloubení šachet zapažených v hornině třídy těžitelnosti I, skupiny 3 objem do 20 m3 v omezeném prostoru</t>
  </si>
  <si>
    <t>Signalizační vodič DN do 150 mm na potrubí</t>
  </si>
  <si>
    <t>Krytí potrubí z plastů výstražnou fólií z PVC 40cm</t>
  </si>
  <si>
    <t>Tlaková zkouška vodou potrubí DN 150 až 200</t>
  </si>
  <si>
    <t>Násypy z  drceného kameniva frakce 0-32mm, hutněno po vrstvách max. 20cm (viz IGP odst.4.4.2.); výměra: 2630m2*1,6+svahování
 u dom. důch.  1,28m2*61,31-svahování podél komunikací 1,28m2*159,68+zvýšená část kolem bosketu21,90m2*23,29-prostor pod schodištěm a schodiště 14,18m2*7,00m-rampa 9,54m2*6,35m-technická šachta0,5m2*6,6-retenční jímka25m2*2,1m-základy fontány, palisády sochy (0,30*1,45*0,90*10+0,15*1,45*0,60*2+1,880*1,95*1,03+0,50*0,90*12,30+žlb.deska9,40*1,35*0,15+(0,23m2+0,11m2+0,18m2)*1,35</t>
  </si>
  <si>
    <t>174151101</t>
  </si>
  <si>
    <t>Zásyp jam, šachet rýh nebo kolem objektů sypaninou se zhutněním</t>
  </si>
  <si>
    <t>151 101101</t>
  </si>
  <si>
    <t>VODOVODNÍ PŘÍPOJKA</t>
  </si>
  <si>
    <t>Výkop pro uložení vodovodního potrubí PE100 SDR11 PN 16 40x3,7mm a PN 16 32x3,00mm, 
( v místě výkopu zeminy na -1,60), 
výměra: přívod do technolog. šachty (10,14bm)*
0,80 š.* 0,50 hl.+(36,50+2,05+11,35+28,00)*
0,80*0,50</t>
  </si>
  <si>
    <t>Zřízení příložného pažení a rozepření stěn rýh hl do 2 m (vod.přípojka PE 100 - 40*3,7mm-8,03bm +přívod do technolog šachty 58,84bm</t>
  </si>
  <si>
    <t xml:space="preserve"> Zřízení +odstranění příložného pažení a rozepření stěn (šachta)
((1,625+0,70*2)+(1,325+0,70*2))*2*2,00</t>
  </si>
  <si>
    <t>151101201
151101211</t>
  </si>
  <si>
    <t>151101401 151101411</t>
  </si>
  <si>
    <t>460061161 460061162</t>
  </si>
  <si>
    <t>181951112/R</t>
  </si>
  <si>
    <t>Úprava pláně v hornině třídy těžitelnosti II, skupiny 1 až 3 se zhutněním strojně</t>
  </si>
  <si>
    <t>Odvoz kovového rámu  k likvidaci do 1km (do Kovošrotu)</t>
  </si>
  <si>
    <t xml:space="preserve">Demontáž reklamního panelu, cca vel. 2,00*3,50m včetně kovového rámu cca 420kg, 
kotvení a odvozu k likvidaci. </t>
  </si>
  <si>
    <t>SO 401  Veřejné osvětlení</t>
  </si>
  <si>
    <t>SO 401 Veřejné osvětlení</t>
  </si>
  <si>
    <t xml:space="preserve">18) Stávající zemina (navážka) na původních neupravených terénech je odtěžena na úroveň -1,60m. Je nahrazena násypovou zeminou dle IGP, hutněno po max 20cm. </t>
  </si>
  <si>
    <t>A) Hlavní montážní materiál</t>
  </si>
  <si>
    <t>A1) Kabelové rozvody silnoproudu (vč. Trubkovodů)</t>
  </si>
  <si>
    <t>D+M</t>
  </si>
  <si>
    <t xml:space="preserve">Kabel CYKY J 4x16 </t>
  </si>
  <si>
    <t>Vodič FeZn prům 10mm</t>
  </si>
  <si>
    <t>Svorka zemní propojovací</t>
  </si>
  <si>
    <t>Svorka zemní odbočovací</t>
  </si>
  <si>
    <t>Svorka zemní připojovací</t>
  </si>
  <si>
    <t>D</t>
  </si>
  <si>
    <t>Trubka kopoflex prům. 110mm</t>
  </si>
  <si>
    <t>A2)  Ukončení a připojení kabelů</t>
  </si>
  <si>
    <t>Připojení  nového stožáru smyčkou</t>
  </si>
  <si>
    <t>Připojení nového stožáru odbočkou</t>
  </si>
  <si>
    <t>Připojení (přepojení) stávajícího stožáru</t>
  </si>
  <si>
    <t xml:space="preserve">A3) Osvětlovací tělesa </t>
  </si>
  <si>
    <t>M</t>
  </si>
  <si>
    <t xml:space="preserve">Zapuštění (vetknutí) stožáru </t>
  </si>
  <si>
    <t>Montáž elektrické výzbroje stožárů</t>
  </si>
  <si>
    <t>0</t>
  </si>
  <si>
    <t>Svodový kabel ze svítidla CYKY 3x1,5mm</t>
  </si>
  <si>
    <t>Stožárová rozvodnice s jednou pojistkou, průchozí</t>
  </si>
  <si>
    <t>Stožárová rozvodnice se třemi pojistkami, průchozí</t>
  </si>
  <si>
    <t>A4) Ostatní</t>
  </si>
  <si>
    <t xml:space="preserve">Kabelové lože 2-2 dle v.č.  19-013-DPS-D.1-05-02-02  (vč. hloubení výkopů 50x120cm, reailzace beton. stabiliařních vrstev, štěrkové vrstvy, krycí fólie, hutnění materiálu, odvozu přebytečné zeminy) </t>
  </si>
  <si>
    <t>Revize el. zařízení a kompletní zkoušky</t>
  </si>
  <si>
    <t>kpl</t>
  </si>
  <si>
    <t>Chráničky</t>
  </si>
  <si>
    <t>Sadové stožáry</t>
  </si>
  <si>
    <t>SO 402  Elektro silnoproud</t>
  </si>
  <si>
    <t>01 část Přípojka NN 0,4 kV</t>
  </si>
  <si>
    <t>A) Dodávky rozvaděčů</t>
  </si>
  <si>
    <t xml:space="preserve">Rozvaděč RE  skříň 500x600x250 dle standardu ČEZ – výzbroj dle výkresu č. 19-013-DPS-D.1-06-01-02 </t>
  </si>
  <si>
    <t>B) Hlavní montážní materiál</t>
  </si>
  <si>
    <t xml:space="preserve">B1) Kabelové rozvody silnoproudu (vč. trubkovodů) </t>
  </si>
  <si>
    <t xml:space="preserve">Kabel CYKY J 4x70 </t>
  </si>
  <si>
    <t>B2)  Ukončení a připojení kabelů</t>
  </si>
  <si>
    <t xml:space="preserve">Ukončení a připojení kabelů CYKY J 4x70 </t>
  </si>
  <si>
    <t>B3) Ostatní</t>
  </si>
  <si>
    <t>02 část Architektonické osvětlení a technologické rozvody</t>
  </si>
  <si>
    <t>Rozvaděč RH1  3x skříň 600x600x210 + 1x skříň 300x600x210 + 1x skříň 2100x300x100– výzbroj dle výkresu č.  19-013-DPS-D.1-06-02-03</t>
  </si>
  <si>
    <t>Rozvaděč RP1  2x skříň 600x600x210 + 1x skříň 300x600x210 + 1x skříň 1500x300x100– výzbroj dle výkresu č.  19-013-DPS-D.1-06-02-03</t>
  </si>
  <si>
    <t>B1) Kabelové rozvody silnoproudu (vč. trubkovodů)</t>
  </si>
  <si>
    <t xml:space="preserve">Kabel CYKY J 4x50 </t>
  </si>
  <si>
    <t>Kabel CYKY J 5x35</t>
  </si>
  <si>
    <t xml:space="preserve">Kabel CYKY J 5x16 </t>
  </si>
  <si>
    <t xml:space="preserve">Kabel CYKY J 5x6 </t>
  </si>
  <si>
    <t xml:space="preserve">Kabel CYKY J 5x4 </t>
  </si>
  <si>
    <t xml:space="preserve">Kabel CYKY J 3x4 </t>
  </si>
  <si>
    <t xml:space="preserve">Kabel CYKY J 3x2,5 </t>
  </si>
  <si>
    <t xml:space="preserve">Kabel CYKY J 12x2,5 </t>
  </si>
  <si>
    <t xml:space="preserve">Kabel CYKY J 5x1,5 </t>
  </si>
  <si>
    <t>Kabel CYKY 2x2,5 (červená/černá)</t>
  </si>
  <si>
    <t>Vodič CY35mm-z/žl</t>
  </si>
  <si>
    <t>Vodič CY6mm-z/žl</t>
  </si>
  <si>
    <t>Svorka zemní propojovací do prům 10mm</t>
  </si>
  <si>
    <t>Svorka zemní odbočovací do prům 10mm</t>
  </si>
  <si>
    <t>Svorka zemní připojovací do průř 2,5mm</t>
  </si>
  <si>
    <t>B2)  Ostatní elektroinstalace</t>
  </si>
  <si>
    <t xml:space="preserve">Zásuvková skříň MX </t>
  </si>
  <si>
    <t xml:space="preserve">Zásuvka 230V/16A,  umístěná  na sloupu VO </t>
  </si>
  <si>
    <t>Komplet připojení technologie fontány</t>
  </si>
  <si>
    <t>Komplet připojení technologie závlahového systému</t>
  </si>
  <si>
    <t>Komplet připojení technologie čerpadla AKU</t>
  </si>
  <si>
    <t xml:space="preserve">Komplet připojení technologie mlžítka </t>
  </si>
  <si>
    <t>Integrovaný soumrakový stmívač</t>
  </si>
  <si>
    <t xml:space="preserve">B3) Osvětlovací tělesa </t>
  </si>
  <si>
    <t>Betonové základky C25/30 se zvýšenými nároky na prostředí pro zemní svítidla typu G1 a G2, výměra:0,50bm*0,50bm*0,60bm*17ks</t>
  </si>
  <si>
    <t>Výkop pro betonové základky pro zemní svítidla typu G1 a G2, výměra: 0,50bm*0,50bm*0,90bm*17ks</t>
  </si>
  <si>
    <t>Podsyp pod základové kce se zhutněním z kameniva fr 16-32mm tl. 300mm, výměra: 0,50bm*0,50bm*0,30bm*17ks</t>
  </si>
  <si>
    <t>B4) Ostatní</t>
  </si>
  <si>
    <t xml:space="preserve">Kabelové lože 1-1 dle v.č. .19-013-DPS-D.1-05-02-02  (vč. hloubení výkopů 50x50cm, reailzace pískového lože, položení krycí cihly a krycí fólie, hutnění materiálu, odvozu přebytečné zeminy) </t>
  </si>
  <si>
    <t>Odstranění rozepření stěn rýh nebo jam</t>
  </si>
  <si>
    <t>Provizorní zajištění kabelů ve vkopišti při jejich souběhu, avšak při jejich souběhu</t>
  </si>
  <si>
    <t xml:space="preserve">Realizace podzemního vedení pod ulicí Mladých Běchovic bude pravděpodobně řešena protlakem. Před realizací protlaku musí být vytyčeny všechny inženýrské sítě v trase protlaku včetně hloubek uložení. Před realizací bude navržena bezpečná trasa protlaku tak, aby nedošlo k poškození stávajících inženýrských sítí. Způsob realizace navrhne zhotovitel stavby, včetně případných úprav DIO. </t>
  </si>
  <si>
    <t>Další vrchní skladby komunikace  viz. 
SO 101 - Komunikace a zpevněné plochy</t>
  </si>
  <si>
    <t>hod</t>
  </si>
  <si>
    <t>HZS4212</t>
  </si>
  <si>
    <t>HZS4222</t>
  </si>
  <si>
    <t>Revize el. zařízení a kompletní zkoušky 2 * 8hod</t>
  </si>
  <si>
    <t>Vyhledání a vytýčení stávajících kabel. tras a podzemních objektů 2*16hod</t>
  </si>
  <si>
    <t>38899/R5219</t>
  </si>
  <si>
    <t>Pažení příložné plné výkopů jam hloubky do 4 m</t>
  </si>
  <si>
    <t>velikost 900/900mm - hl. 1,70bm * 7ks</t>
  </si>
  <si>
    <t>velikost 900/900mm - hl. 1,20bm * (1+2)ks</t>
  </si>
  <si>
    <t>(0,90*4*1,70)*7+(0,90*4*1,20)*3</t>
  </si>
  <si>
    <t>Odstranění pažení příložného výkopů jam hloubky do 4 m</t>
  </si>
  <si>
    <t>Pažení stěn rýh nebo jam - rozepření</t>
  </si>
  <si>
    <t>(0,90+0,55)*0,35*1,20*1</t>
  </si>
  <si>
    <t>(0,90+0,80)*0,10*1,70*7</t>
  </si>
  <si>
    <t>(0,90+0,60)*0,30*1,20*2</t>
  </si>
  <si>
    <t>Zásyp jam při elektromontážích ručně se zhutněním z hornin třídy I skupiny 3</t>
  </si>
  <si>
    <t>27512/R1111</t>
  </si>
  <si>
    <t>Osazení prefabrikovaných patek pro sloupy VO</t>
  </si>
  <si>
    <t>Demontáž stávajících elektro - kabelů do suti</t>
  </si>
  <si>
    <r>
      <rPr>
        <b/>
        <sz val="10"/>
        <rFont val="Arial"/>
        <family val="2"/>
        <charset val="238"/>
      </rPr>
      <t>Provizorní</t>
    </r>
    <r>
      <rPr>
        <sz val="10"/>
        <rFont val="Arial"/>
        <family val="2"/>
        <charset val="238"/>
      </rPr>
      <t xml:space="preserve"> zajištění inženýrských sítí ve výkopech pomocí drátů, dřevěných a plastových prvků apod., kabelů při  křížení s kabelem a případně potrubím</t>
    </r>
  </si>
  <si>
    <r>
      <rPr>
        <b/>
        <sz val="10"/>
        <rFont val="Arial"/>
        <family val="2"/>
        <charset val="238"/>
      </rPr>
      <t>Přehutnění</t>
    </r>
    <r>
      <rPr>
        <sz val="10"/>
        <rFont val="Arial"/>
        <family val="2"/>
        <charset val="238"/>
      </rPr>
      <t xml:space="preserve"> podkladní stávající vrstvy pod dlažbu/ asfaltobeton v pásmu 1m na obě straby od osy výkopu rýhy</t>
    </r>
  </si>
  <si>
    <r>
      <rPr>
        <b/>
        <sz val="10"/>
        <rFont val="Arial"/>
        <family val="2"/>
        <charset val="238"/>
      </rPr>
      <t xml:space="preserve">Uložení+dodání </t>
    </r>
    <r>
      <rPr>
        <sz val="10"/>
        <rFont val="Arial"/>
        <family val="2"/>
        <charset val="238"/>
      </rPr>
      <t>výstražné folie z PVC šířky 250mm, položenou nad cihelným krytem kabelu  viz vzorový řez - trasa1 - 1</t>
    </r>
  </si>
  <si>
    <r>
      <rPr>
        <b/>
        <sz val="10"/>
        <rFont val="Arial"/>
        <family val="2"/>
        <charset val="238"/>
      </rPr>
      <t xml:space="preserve">Uložení+dodání </t>
    </r>
    <r>
      <rPr>
        <sz val="10"/>
        <rFont val="Arial"/>
        <family val="2"/>
        <charset val="238"/>
      </rPr>
      <t>výstražné folie z PVC šířky 250mm, položenou nad štěrkovou vrstvu kabelu  
viz vzorový řez -  trasa 2 - 2</t>
    </r>
  </si>
  <si>
    <t xml:space="preserve">Provizorní zajištění kabelů ve výkopišti při jejich souběhu, </t>
  </si>
  <si>
    <t>71277R0019</t>
  </si>
  <si>
    <t>Přechodová lávka délky do 2 m včetně zábradlí pro zabezpečení výkopu zřízení</t>
  </si>
  <si>
    <t>Provizorní zajištění kabelů ve výkopišti při jejich souběhu, avšak při jejich souběhu</t>
  </si>
  <si>
    <t>Odstranění stávajících elektro - kabelů do suti</t>
  </si>
  <si>
    <t>Revizní šachta, prefabrikovaná plastová šachta Ø425mm s litinovým poklopem B125, dodávka + montáž. Kompletní provedení.</t>
  </si>
  <si>
    <t>Napojení liniového žlabu DN150-KG2000 SN10, výměra 4,31bm +1,60bm</t>
  </si>
  <si>
    <t>871315//231</t>
  </si>
  <si>
    <t>210040011/P</t>
  </si>
  <si>
    <t xml:space="preserve">Demontáž stožárů veřejného osvětlení včetně betonových základků , vodorovné přemístění do 200m, se složením, na mezideponii k dalšímu použití </t>
  </si>
  <si>
    <t>17415/R1102</t>
  </si>
  <si>
    <t>T</t>
  </si>
  <si>
    <t>výměra:(2630m2) -
 odpočet  214m2 parkovací  plocha  +
přípočet svahování  u domova důchodců 61,31*1,60-
odpočet chodníku podél ul.Mlad.Běch.107,60*2,0+ 
přípočet zelená plocha u Staré pošty 118,69m2)-
odpočet ornice k dalšímu použití 732m2</t>
  </si>
  <si>
    <t>Vytrhání obrub chodníkových ležatých včetně lože a naložení na dopravní prostředek 
(k dalšímu použití)</t>
  </si>
  <si>
    <t>výměra: chodník podél Mlad. Běch. 146,97m2+51,06m2+dlažba u Star. Pošty 138m2</t>
  </si>
  <si>
    <t>Demontáž žulových obrub ;  výměra:64,50bm+22,85bm+47,65bm</t>
  </si>
  <si>
    <t xml:space="preserve">Vodorovné přemístění betonových dlaždic do 200m, se složením, na mezideponii ke zpětnému použití
</t>
  </si>
  <si>
    <t xml:space="preserve">Rozebrání </t>
  </si>
  <si>
    <t xml:space="preserve"> - před započetím prací budou ve spolupráci správců sítí vytyčeny veškeré inženýrské sítě </t>
  </si>
  <si>
    <r>
      <rPr>
        <b/>
        <sz val="10"/>
        <rFont val="Arial"/>
        <family val="2"/>
        <charset val="238"/>
      </rPr>
      <t>Základová zeď tl 300mm</t>
    </r>
    <r>
      <rPr>
        <sz val="10"/>
        <rFont val="Arial"/>
        <family val="2"/>
        <charset val="238"/>
      </rPr>
      <t xml:space="preserve"> z tvárnic ztraceného bednění včetně výplně z betonu tř. C 25/30</t>
    </r>
  </si>
  <si>
    <r>
      <rPr>
        <b/>
        <sz val="10"/>
        <rFont val="Arial"/>
        <family val="2"/>
        <charset val="238"/>
      </rPr>
      <t xml:space="preserve">Základová zeď </t>
    </r>
    <r>
      <rPr>
        <sz val="10"/>
        <rFont val="Arial"/>
        <family val="2"/>
        <charset val="238"/>
      </rPr>
      <t xml:space="preserve">tl </t>
    </r>
    <r>
      <rPr>
        <b/>
        <sz val="10"/>
        <rFont val="Arial"/>
        <family val="2"/>
        <charset val="238"/>
      </rPr>
      <t xml:space="preserve">150 mm </t>
    </r>
    <r>
      <rPr>
        <sz val="10"/>
        <rFont val="Arial"/>
        <family val="2"/>
        <charset val="238"/>
      </rPr>
      <t>z tvárnic ztraceného bednění včetně výplně z betonu tř. C 25/30</t>
    </r>
  </si>
  <si>
    <r>
      <rPr>
        <b/>
        <sz val="10"/>
        <rFont val="Arial"/>
        <family val="2"/>
        <charset val="238"/>
      </rPr>
      <t xml:space="preserve">Základová zeď tl  500 mm </t>
    </r>
    <r>
      <rPr>
        <sz val="10"/>
        <rFont val="Arial"/>
        <family val="2"/>
        <charset val="238"/>
      </rPr>
      <t>z tvárnic ztraceného bednění včetně výplně z betonu tř. C 25/30</t>
    </r>
  </si>
  <si>
    <r>
      <rPr>
        <b/>
        <sz val="10"/>
        <rFont val="Arial"/>
        <family val="2"/>
        <charset val="238"/>
      </rPr>
      <t>Základové patky </t>
    </r>
    <r>
      <rPr>
        <sz val="10"/>
        <rFont val="Arial"/>
        <family val="2"/>
        <charset val="238"/>
      </rPr>
      <t>ze ŽB bez zvýšených nároků na prostředí tř. C 25/30</t>
    </r>
  </si>
  <si>
    <r>
      <rPr>
        <b/>
        <sz val="10"/>
        <rFont val="Arial"/>
        <family val="2"/>
        <charset val="238"/>
      </rPr>
      <t>Zřízení bednění</t>
    </r>
    <r>
      <rPr>
        <sz val="10"/>
        <rFont val="Arial"/>
        <family val="2"/>
        <charset val="238"/>
      </rPr>
      <t> základových patek
(1,80+1,45+0,90+0,50+0,90+1,95)*1,08+(0,30*1,45)+(0,35*1,45)*2+(0,30*0,35)*2</t>
    </r>
  </si>
  <si>
    <r>
      <rPr>
        <b/>
        <sz val="10"/>
        <rFont val="Arial"/>
        <family val="2"/>
        <charset val="238"/>
      </rPr>
      <t>Odstranění bednění </t>
    </r>
    <r>
      <rPr>
        <sz val="10"/>
        <rFont val="Arial"/>
        <family val="2"/>
        <charset val="238"/>
      </rPr>
      <t>základových patek</t>
    </r>
  </si>
  <si>
    <r>
      <rPr>
        <b/>
        <sz val="10"/>
        <rFont val="Arial"/>
        <family val="2"/>
        <charset val="238"/>
      </rPr>
      <t xml:space="preserve">Dtto avšak montáž se spárováním </t>
    </r>
    <r>
      <rPr>
        <sz val="10"/>
        <rFont val="Arial"/>
        <family val="2"/>
        <charset val="238"/>
      </rPr>
      <t>, obklad kladený  do lepidla vodě a mrazu odolného včetně spárování</t>
    </r>
  </si>
  <si>
    <r>
      <rPr>
        <b/>
        <sz val="10"/>
        <rFont val="Arial"/>
        <family val="2"/>
        <charset val="238"/>
      </rPr>
      <t>Vyrovnávací stěrka</t>
    </r>
    <r>
      <rPr>
        <sz val="10"/>
        <rFont val="Arial"/>
        <family val="2"/>
        <charset val="238"/>
      </rPr>
      <t xml:space="preserve"> (dotvoření spádu)
tl.30 mm </t>
    </r>
  </si>
  <si>
    <r>
      <rPr>
        <b/>
        <sz val="10"/>
        <rFont val="Arial"/>
        <family val="2"/>
        <charset val="238"/>
      </rPr>
      <t>Výztuž </t>
    </r>
    <r>
      <rPr>
        <sz val="10"/>
        <rFont val="Arial"/>
        <family val="2"/>
        <charset val="238"/>
      </rPr>
      <t>základových desek sítě při obou površích
 (KY 49- 100/100/8) / 47,40kg=2*3m / 7,90kg/m2 
výměra : (60,91m2*0,0079t/m2)</t>
    </r>
  </si>
  <si>
    <r>
      <rPr>
        <b/>
        <sz val="10"/>
        <rFont val="Arial"/>
        <family val="2"/>
        <charset val="238"/>
      </rPr>
      <t>Dtto avšak</t>
    </r>
    <r>
      <rPr>
        <sz val="10"/>
        <rFont val="Arial"/>
        <family val="2"/>
        <charset val="238"/>
      </rPr>
      <t xml:space="preserve"> osazování výrobků do 
30 kg/kus =2bm do betonu </t>
    </r>
  </si>
  <si>
    <r>
      <rPr>
        <b/>
        <sz val="10"/>
        <rFont val="Arial"/>
        <family val="2"/>
        <charset val="238"/>
      </rPr>
      <t>Kotevní šroub</t>
    </r>
    <r>
      <rPr>
        <sz val="10"/>
        <rFont val="Arial"/>
        <family val="2"/>
        <charset val="238"/>
      </rPr>
      <t xml:space="preserve"> pro chemické kotvy M 16 dl 190 mm včetně dodání a zasunutí kotevního šroubu do otvoru vyplněného chemickým tmelem </t>
    </r>
  </si>
  <si>
    <r>
      <rPr>
        <b/>
        <sz val="10"/>
        <rFont val="Arial"/>
        <family val="2"/>
        <charset val="238"/>
      </rPr>
      <t xml:space="preserve">Nerez </t>
    </r>
    <r>
      <rPr>
        <sz val="10"/>
        <rFont val="Arial"/>
        <family val="2"/>
        <charset val="238"/>
      </rPr>
      <t>L100/100/12 u napouštěcího objektu, výměra:(1,90bm+1,35bm)*2</t>
    </r>
  </si>
  <si>
    <r>
      <rPr>
        <b/>
        <sz val="10"/>
        <rFont val="Arial"/>
        <family val="2"/>
        <charset val="238"/>
      </rPr>
      <t>Dtto avšak</t>
    </r>
    <r>
      <rPr>
        <sz val="10"/>
        <rFont val="Arial"/>
        <family val="2"/>
        <charset val="238"/>
      </rPr>
      <t xml:space="preserve"> osazování výrobků do 30 kg/kus do betonu</t>
    </r>
  </si>
  <si>
    <r>
      <rPr>
        <b/>
        <sz val="10"/>
        <rFont val="Arial"/>
        <family val="2"/>
        <charset val="238"/>
      </rPr>
      <t>Vytvoření prostupu Ø 100</t>
    </r>
    <r>
      <rPr>
        <sz val="10"/>
        <rFont val="Arial"/>
        <family val="2"/>
        <charset val="238"/>
      </rPr>
      <t xml:space="preserve"> v betonovém  základu pro potrubí k napouštěcímu objektu </t>
    </r>
  </si>
  <si>
    <r>
      <rPr>
        <b/>
        <sz val="10"/>
        <rFont val="Arial"/>
        <family val="2"/>
        <charset val="238"/>
      </rPr>
      <t>Plotna</t>
    </r>
    <r>
      <rPr>
        <sz val="10"/>
        <rFont val="Arial"/>
        <family val="2"/>
        <charset val="238"/>
      </rPr>
      <t xml:space="preserve"> pro izolaci do bet. základu</t>
    </r>
  </si>
  <si>
    <r>
      <rPr>
        <b/>
        <sz val="10"/>
        <rFont val="Arial"/>
        <family val="2"/>
        <charset val="238"/>
      </rPr>
      <t>Chránička a potrub</t>
    </r>
    <r>
      <rPr>
        <sz val="10"/>
        <rFont val="Arial"/>
        <family val="2"/>
        <charset val="238"/>
      </rPr>
      <t>í dl. cca 1400mm, 
příruba,  DN 100, (dl. 1400mm*2)</t>
    </r>
  </si>
  <si>
    <r>
      <rPr>
        <b/>
        <sz val="10"/>
        <rFont val="Arial"/>
        <family val="2"/>
        <charset val="238"/>
      </rPr>
      <t>Prostupová</t>
    </r>
    <r>
      <rPr>
        <sz val="10"/>
        <rFont val="Arial"/>
        <family val="2"/>
        <charset val="238"/>
      </rPr>
      <t xml:space="preserve"> izolační manžeta (těsnění)</t>
    </r>
  </si>
  <si>
    <r>
      <rPr>
        <b/>
        <sz val="10"/>
        <rFont val="Arial"/>
        <family val="2"/>
        <charset val="238"/>
      </rPr>
      <t>Chránička a potrub</t>
    </r>
    <r>
      <rPr>
        <sz val="10"/>
        <rFont val="Arial"/>
        <family val="2"/>
        <charset val="238"/>
      </rPr>
      <t>í dl. cca 1600mm, příruba 
DN 100, (dl. 1600mm*2)</t>
    </r>
  </si>
  <si>
    <r>
      <rPr>
        <b/>
        <sz val="10"/>
        <rFont val="Arial"/>
        <family val="2"/>
        <charset val="238"/>
      </rPr>
      <t>Prostupová</t>
    </r>
    <r>
      <rPr>
        <sz val="10"/>
        <rFont val="Arial"/>
        <family val="2"/>
        <charset val="238"/>
      </rPr>
      <t xml:space="preserve"> izolační manžeta  (těsnění)</t>
    </r>
  </si>
  <si>
    <r>
      <rPr>
        <b/>
        <sz val="10"/>
        <rFont val="Arial"/>
        <family val="2"/>
        <charset val="238"/>
      </rPr>
      <t>zhutněný štěrkopískový násyp</t>
    </r>
    <r>
      <rPr>
        <sz val="10"/>
        <rFont val="Arial"/>
        <family val="2"/>
        <charset val="238"/>
      </rPr>
      <t xml:space="preserve"> 400 mm 
3,50*6,30*0,40</t>
    </r>
  </si>
  <si>
    <r>
      <t xml:space="preserve">hydroizolace 2 x sklobit S  5 mm - </t>
    </r>
    <r>
      <rPr>
        <sz val="10"/>
        <rFont val="Arial"/>
        <family val="2"/>
        <charset val="238"/>
      </rPr>
      <t>dodávka+montáž - kompletní provedení</t>
    </r>
  </si>
  <si>
    <r>
      <rPr>
        <b/>
        <sz val="10"/>
        <rFont val="Arial"/>
        <family val="2"/>
        <charset val="238"/>
      </rPr>
      <t xml:space="preserve">penetrační nátěr </t>
    </r>
    <r>
      <rPr>
        <sz val="10"/>
        <rFont val="Arial"/>
        <family val="2"/>
        <charset val="238"/>
      </rPr>
      <t>- kompletní provedení</t>
    </r>
  </si>
  <si>
    <r>
      <t xml:space="preserve">cihelná přizdívka u hrdla šachet </t>
    </r>
    <r>
      <rPr>
        <sz val="10"/>
        <rFont val="Arial"/>
        <family val="2"/>
        <charset val="238"/>
      </rPr>
      <t>150mm</t>
    </r>
  </si>
  <si>
    <r>
      <rPr>
        <b/>
        <sz val="10"/>
        <rFont val="Arial"/>
        <family val="2"/>
        <charset val="238"/>
      </rPr>
      <t>prostý beton, stěny(</t>
    </r>
    <r>
      <rPr>
        <sz val="10"/>
        <rFont val="Arial"/>
        <family val="2"/>
        <charset val="238"/>
      </rPr>
      <t>řez 2-2, řez3-3), výměra: 0,15*0,60*(0,80+0,50)*2</t>
    </r>
  </si>
  <si>
    <r>
      <rPr>
        <b/>
        <sz val="10"/>
        <rFont val="Arial"/>
        <family val="2"/>
        <charset val="238"/>
      </rPr>
      <t>Zeď tl 300mm</t>
    </r>
    <r>
      <rPr>
        <sz val="10"/>
        <rFont val="Arial"/>
        <family val="2"/>
        <charset val="238"/>
      </rPr>
      <t xml:space="preserve"> z tvárnic ztraceného bednění včetně 
výplně z betonu tř. C 25/30</t>
    </r>
  </si>
  <si>
    <r>
      <rPr>
        <b/>
        <sz val="10"/>
        <rFont val="Arial"/>
        <family val="2"/>
        <charset val="238"/>
      </rPr>
      <t>Výztuž základových zdí nosných</t>
    </r>
    <r>
      <rPr>
        <sz val="10"/>
        <rFont val="Arial"/>
        <family val="2"/>
        <charset val="238"/>
      </rPr>
      <t xml:space="preserve"> betonářskou ocelí </t>
    </r>
    <r>
      <rPr>
        <b/>
        <sz val="10"/>
        <rFont val="Arial"/>
        <family val="2"/>
        <charset val="238"/>
      </rPr>
      <t>B500B viz v.č. D.1.07.14 (0,076+0,407)t</t>
    </r>
  </si>
  <si>
    <r>
      <rPr>
        <b/>
        <sz val="10"/>
        <rFont val="Arial"/>
        <family val="2"/>
        <charset val="238"/>
      </rPr>
      <t>přívod/odvod vzduchu u podlahy a stropu DN 150,</t>
    </r>
    <r>
      <rPr>
        <sz val="10"/>
        <rFont val="Arial"/>
        <family val="2"/>
        <charset val="238"/>
      </rPr>
      <t xml:space="preserve"> dl. 450mm, 4ks, prostup včetně otvoru, chráničky a utěsnění</t>
    </r>
  </si>
  <si>
    <r>
      <t xml:space="preserve"> - </t>
    </r>
    <r>
      <rPr>
        <b/>
        <sz val="10"/>
        <rFont val="Arial"/>
        <family val="2"/>
        <charset val="238"/>
      </rPr>
      <t xml:space="preserve">mřížka v palisádě, průměr 150mm, 2ks, </t>
    </r>
    <r>
      <rPr>
        <sz val="10"/>
        <rFont val="Arial"/>
        <family val="2"/>
        <charset val="238"/>
      </rPr>
      <t>prostup palisádou a jejím základem, včetně otvoru, chráničky a  utěsnění. Kompletní provedení</t>
    </r>
  </si>
  <si>
    <t xml:space="preserve">3) Při oceňování díla stavební firmou je PD a TZ technicky i technologicky nadřazena soupisu prací a dodávek s výkazem výměr. Zhotovitel díla odpovídá za to, že provedl kontrolu kompletnosti seznamu operací v soupise prací a dodávek s výkazem výměr a do své nabídky zahrnul veškeré dodávky a kompletní provedení prací nutné k  provedení díla, které je předmětem smlouvy a bude  schopno plnit svoji funkci po dobu několika desítek let.  </t>
  </si>
  <si>
    <t>výměra:  chodník ul. Za poštov. Zahr. 121m2+ park.místa ul. Za poštov. Zahr.269m2+ chodník na severu75,26m2+park.místa na severu74,65m2+silnice u rybníka 132,40m2+ přes ulici u rybníka 12,5m2 + naproti přechodu 28m2)</t>
  </si>
  <si>
    <t>15) V blízkosti inženýrských sítí budou veškeré práce prováděny ručně.</t>
  </si>
  <si>
    <t>9)Hutnění (zeminy) konstrukcí nových i stávajících (po demontáži nášlapných vrstev s ložem): konstrukce pro zpevnění hutnit po jednotlivých podkladních vrstvách  dle PD a IGP</t>
  </si>
  <si>
    <t>kód</t>
  </si>
  <si>
    <t>6) Likvidace kovových částí: Veškeré kovové části 
budou před odvozem k prodeji zváženy a jejich hmotnost zapsána do Stavebního deníku. Následně budou odvezeny a prodány jako druhotné suroviny do 
Kovošrotu za cenu platnou v den prodeje. Jejich výtěžek bude poslán na účet investora ve výši ceny platné v den prodeje.</t>
  </si>
  <si>
    <t>1)Soupis prací a dodávek  je zpracován dle 
Vyhlášky 169 ze dne 12.05.2016</t>
  </si>
  <si>
    <t>SO 701 - Fontána stavební řešení</t>
  </si>
  <si>
    <r>
      <rPr>
        <b/>
        <sz val="11"/>
        <rFont val="Arial"/>
        <family val="2"/>
        <charset val="238"/>
      </rPr>
      <t>SO 701 - Fontána</t>
    </r>
    <r>
      <rPr>
        <b/>
        <sz val="10"/>
        <rFont val="Arial"/>
        <family val="2"/>
        <charset val="238"/>
      </rPr>
      <t xml:space="preserve"> stavební řešení</t>
    </r>
  </si>
  <si>
    <t xml:space="preserve">     palisáda 23,10m2</t>
  </si>
  <si>
    <r>
      <rPr>
        <b/>
        <sz val="10"/>
        <rFont val="Arial"/>
        <family val="2"/>
        <charset val="238"/>
      </rPr>
      <t>(</t>
    </r>
    <r>
      <rPr>
        <sz val="10"/>
        <rFont val="Arial"/>
        <family val="2"/>
        <charset val="238"/>
      </rPr>
      <t>pro</t>
    </r>
    <r>
      <rPr>
        <b/>
        <sz val="10"/>
        <rFont val="Arial"/>
        <family val="2"/>
        <charset val="238"/>
      </rPr>
      <t xml:space="preserve"> </t>
    </r>
    <r>
      <rPr>
        <sz val="10"/>
        <rFont val="Arial"/>
        <family val="2"/>
        <charset val="238"/>
      </rPr>
      <t>fontánu,palisádu,fontána-pod schody)</t>
    </r>
    <r>
      <rPr>
        <b/>
        <sz val="10"/>
        <rFont val="Arial"/>
        <family val="2"/>
        <charset val="238"/>
      </rPr>
      <t xml:space="preserve"> Výztuž základových zdí</t>
    </r>
    <r>
      <rPr>
        <sz val="10"/>
        <rFont val="Arial"/>
        <family val="2"/>
        <charset val="238"/>
      </rPr>
      <t xml:space="preserve"> 
nosných betonářskou </t>
    </r>
    <r>
      <rPr>
        <b/>
        <sz val="10"/>
        <rFont val="Arial"/>
        <family val="2"/>
        <charset val="238"/>
      </rPr>
      <t>ocelí B500B Ø R12- 
výměry : (0,97kg/bm)*(8+8)ks/m2*
(27,48+2,83+23,10)m2*1,20%přesah*0,001</t>
    </r>
  </si>
  <si>
    <t>část fontány+socha ; 0,90*1,45*1,080+(0,90*1,95*0,97)</t>
  </si>
  <si>
    <r>
      <rPr>
        <b/>
        <sz val="10"/>
        <rFont val="Arial"/>
        <family val="2"/>
        <charset val="238"/>
      </rPr>
      <t>Podkladní</t>
    </r>
    <r>
      <rPr>
        <sz val="10"/>
        <rFont val="Arial"/>
        <family val="2"/>
        <charset val="238"/>
      </rPr>
      <t xml:space="preserve"> - Základové desky ze ŽB bez 
zvýšených nároků na prostředí tř. C 25/30. 
tl. 150mm</t>
    </r>
  </si>
  <si>
    <r>
      <rPr>
        <b/>
        <sz val="10"/>
        <rFont val="Arial"/>
        <family val="2"/>
        <charset val="238"/>
      </rPr>
      <t>Výztuž</t>
    </r>
    <r>
      <rPr>
        <sz val="10"/>
        <rFont val="Arial"/>
        <family val="2"/>
        <charset val="238"/>
      </rPr>
      <t xml:space="preserve"> základových desek sítě při obou površích
</t>
    </r>
    <r>
      <rPr>
        <sz val="9"/>
        <rFont val="Arial"/>
        <family val="2"/>
        <charset val="238"/>
      </rPr>
      <t>plocha : (9,53+1,65+0,98+1,55+9,70)*1,45=33,95m2</t>
    </r>
    <r>
      <rPr>
        <sz val="10"/>
        <rFont val="Arial"/>
        <family val="2"/>
        <charset val="238"/>
      </rPr>
      <t xml:space="preserve">
 </t>
    </r>
    <r>
      <rPr>
        <sz val="9"/>
        <rFont val="Arial"/>
        <family val="2"/>
        <charset val="238"/>
      </rPr>
      <t>(KY 49- 100/100/8) 47,40kg=2*3m /7,90kg/m2*2*33,95m2*1,20%přesah*0,001</t>
    </r>
  </si>
  <si>
    <r>
      <t xml:space="preserve">Podsyp pod </t>
    </r>
    <r>
      <rPr>
        <sz val="10"/>
        <rFont val="Arial"/>
        <family val="2"/>
        <charset val="238"/>
      </rPr>
      <t>základové konstrukce se zhutněním z</t>
    </r>
    <r>
      <rPr>
        <b/>
        <sz val="10"/>
        <rFont val="Arial"/>
        <family val="2"/>
        <charset val="238"/>
      </rPr>
      <t xml:space="preserve"> hrubého kameniva frakce 16 až 32 mm</t>
    </r>
  </si>
  <si>
    <t>výměra kamenná deska fontány: 
1,15*((20,40+2,70-0,25-0,60+0,05))</t>
  </si>
  <si>
    <r>
      <rPr>
        <b/>
        <sz val="10"/>
        <rFont val="Arial"/>
        <family val="2"/>
        <charset val="238"/>
      </rPr>
      <t>Výztuž</t>
    </r>
    <r>
      <rPr>
        <sz val="10"/>
        <rFont val="Arial"/>
        <family val="2"/>
        <charset val="238"/>
      </rPr>
      <t xml:space="preserve"> základových patek svařovanými  sítěmi 
Kari 100/100/8 ; 
výměra ; 7,9kg/m2*9,76m2*1,20%přesah*0,001
</t>
    </r>
  </si>
  <si>
    <t>výměra fontána: 0,20*(0,30+1,45)*2*17ks+0,20*(0,15+1,45)*2*2ks +palisáda 0,20*(24,20+0,50)*2+0,15*0,50*7ks</t>
  </si>
  <si>
    <t>výměra fontána: 0,20*(0,30*1,45)*17ks+0,20*(0,15*1,45)*2ks +palisáda 0,20*(24,20*0,50)</t>
  </si>
  <si>
    <t>(11,30+1,80+1,25+1,50+8,70)*1,45*0,25</t>
  </si>
  <si>
    <t>výměra: ((20,40+2,70+0,05+0,1*2))*2+(1,35+0,8)</t>
  </si>
  <si>
    <r>
      <rPr>
        <b/>
        <sz val="10"/>
        <rFont val="Arial"/>
        <family val="2"/>
        <charset val="238"/>
      </rPr>
      <t>Kamenné desky na bocích fontány vel. 100x130mm, tl.100mm</t>
    </r>
    <r>
      <rPr>
        <sz val="10"/>
        <rFont val="Arial"/>
        <family val="2"/>
        <charset val="238"/>
      </rPr>
      <t xml:space="preserve">, - 100*130*600mm </t>
    </r>
  </si>
  <si>
    <t>výměra kamenná deska - boky podstupnice: 
0,15*12ks)</t>
  </si>
  <si>
    <r>
      <t xml:space="preserve">Lepidlo </t>
    </r>
    <r>
      <rPr>
        <sz val="10"/>
        <rFont val="Arial"/>
        <family val="2"/>
        <charset val="238"/>
      </rPr>
      <t>mrazuvzdorné na kamenné desky     7 mm</t>
    </r>
  </si>
  <si>
    <r>
      <rPr>
        <b/>
        <sz val="10"/>
        <rFont val="Arial"/>
        <family val="2"/>
        <charset val="238"/>
      </rPr>
      <t xml:space="preserve">Nerez </t>
    </r>
    <r>
      <rPr>
        <sz val="10"/>
        <rFont val="Arial"/>
        <family val="2"/>
        <charset val="238"/>
      </rPr>
      <t>L130/90/12 u napouštěcího objektu, 
(52,49bm)*19,50kg/bm=1023,56kg</t>
    </r>
  </si>
  <si>
    <r>
      <rPr>
        <b/>
        <sz val="10"/>
        <rFont val="Arial"/>
        <family val="2"/>
        <charset val="238"/>
      </rPr>
      <t>Zabudován</t>
    </r>
    <r>
      <rPr>
        <sz val="10"/>
        <rFont val="Arial"/>
        <family val="2"/>
        <charset val="238"/>
      </rPr>
      <t>í led svítidla+provedení drážky dl.cca 400mm a otvor pro nerezový prostup skrz kamennou desku tl. cca 100mm, vedení přívodu ke světlu v chráničce  , kompletní provedení.</t>
    </r>
  </si>
  <si>
    <r>
      <rPr>
        <b/>
        <sz val="10"/>
        <rFont val="Arial"/>
        <family val="2"/>
        <charset val="238"/>
      </rPr>
      <t xml:space="preserve">Prostup v betonovém </t>
    </r>
    <r>
      <rPr>
        <sz val="10"/>
        <rFont val="Arial"/>
        <family val="2"/>
        <charset val="238"/>
      </rPr>
      <t xml:space="preserve"> základu pro potrubí k napouštěcímu objektu+plotna pro izolaci, chránička a potrubí dl. cca 1400mm, příruba DN 100, izolační manžeta </t>
    </r>
  </si>
  <si>
    <t>Přesun hmot procentní pro 766 vlhkosti ; 0,74%</t>
  </si>
  <si>
    <t>výměra:  0,25*(3,50+6,30)*2+0,93*(0,60*4+
0,80*4)*2+0,93*(0,91*4+1,10*4)*2+4,0m2</t>
  </si>
  <si>
    <t>celkem tloušťka skladba 6      240 mm</t>
  </si>
  <si>
    <t>Socha, č.v. DPS D.1 07 18 00 – DPS D.1 07 34 00</t>
  </si>
  <si>
    <t>Dodávka materiálu, koordinace</t>
  </si>
  <si>
    <t>Výroba konstrukce, včetně konečného
dolepení dolních plechů po instalaci potrubí, kompletní provedení</t>
  </si>
  <si>
    <t>Obklad sochy kazetami ze slitiny CUAl5Zn5Sn1</t>
  </si>
  <si>
    <t>Při výrobě bočnic je důležitý pouze vnější tvar ( profily 40x40x2 ) 
Diagonální výztuhy ( profil 40x20x2 ) plní je pevnostní funkci
Bude to chtít vyrobit svařovací přípravek pro výrobu bočnic:
např slepit k sobě několik desek OSB, na ně nakreslit obrys a podle něj ustavit a vruty přišroubovat hliníkové L profily, které budou sloužit pro ustavení profilů 40x40x2
Mřížka je vyrobena z plechu 4, díly řezány laserem a svařeny</t>
  </si>
  <si>
    <t>Závěs pro montáž sochy jeřábem tvoří dvě žebra z plechu 5 a tyčka průměr 12 navařené v horní části nosné konstrukce
Vše včetně kotvení konstrukce na místě do betonového základu pomocí chemických kotev přes patní plech včetně spojovacího materiálu, kompletní provedení</t>
  </si>
  <si>
    <t>Vodorovný a šikmý žlab jsou ohnuty z plechu 1,5 ( materiál stejný jako vnější potah sochy )
Šikmý žlab je do konstrukce zasunut ze spodní strany ( ještě před nalepením potahu nerez plechem )
a je upevněn pomocí 4 šroubů M6
Vodorovný žlab je lepen PU lepidlem na horní stranu nosné konstrukce ( profily 40x40x2 )
Spoj obou žlabů je slepen PU lepidlem, šikmý žlab je zasunut do vodorovného žlabu a ke konstrukci je upevněn 4 šrouby M6</t>
  </si>
  <si>
    <t>Ostatní spojky jsou z profilu 40x40x2 nevrtané
Potahový plech 1,2 bude ke konstrukci nalepen polyuretanovým lepidlem
Díly P1 až P5 jsou vyrobeny 2x a lepeny na boky svařené konstrukce
Díly P6 až P17 jsou vyrobeny 1x a lepeny na čelní plochy svařené konstrukce
Díl P11 bude nalepen až po montáži jeřábem</t>
  </si>
  <si>
    <t>Obě bočnice jsou po přerovnání do roviny spojeny příčkami
Svary budou broušeny do roviny v místech přivaření spojovacích příček ( jackel 40x40x2 a 40x30x2 délky 263 ) a taky ze všech vnějších rovin svařené konstrukce, protože konstrukce bude potažena plechem
Pod vodorovným žlabem jsou 3 profily 40x30x2
Pod šikmým žlabem jsou 2 profily 40x40x2 s nerez nýtovacími maticemi M6</t>
  </si>
  <si>
    <r>
      <rPr>
        <b/>
        <sz val="10"/>
        <rFont val="Arial"/>
        <family val="2"/>
        <charset val="238"/>
      </rPr>
      <t>Popis vnitřní konstrukce:</t>
    </r>
    <r>
      <rPr>
        <sz val="10"/>
        <rFont val="Arial"/>
        <family val="2"/>
        <charset val="238"/>
      </rPr>
      <t xml:space="preserve">
Vnitřní konstrukce se skládá ze základny, 2 bočnic spojených profily a potahu
Všechny díly jsou vyrobeny z nerezových profilů a plechů
Protože konstrukce bude skrytá, není zapotřebí broušený povrch
Základna je tvořena základní deskou Z1 z plechu 8 a 6 žebry z plechu 5  ( díly Z2, Z3 )
Přesná šířka mezi žebry Z2 ( 343 mm ) je třeba upravit dle skutečné šířky svařence z jackel profilů
Bočnice jsou svařeny z jackel profilů 40x40x2 a 40x20x2</t>
    </r>
  </si>
  <si>
    <t>Boční obkladové kazety budou gravírované do hloubky cca 0,5 mm s grafikou všech možných jmen minulých i budoucích běžců , viz vizualizace.
Vnitřkem sochy bude procházet potrubí technologie fontány. Výtok bude řešen jako žlab obložený stejným plechem.
Podrobné řešení, statické posouzení, detaily kotvení do základu - viz konstrukční část, detaily kotvení obkladových kazet, grafika perforování a gravírování budou součástí dokumentace RDS. Dokumentace RDS bude předložena ke schválení architektovi stavby. Včetně kotvícího a těsnícího materiálu z nerezu. Kompletní provedení včetně dopravy na místo</t>
  </si>
  <si>
    <t>SO 703  Drobná architektura</t>
  </si>
  <si>
    <t>SO 703 Drobná architektura</t>
  </si>
  <si>
    <t xml:space="preserve">M01-Lavička s opěradlem (atypická)- kompletní provedení, podrobnosti viz. PD SO 703 - M01 </t>
  </si>
  <si>
    <t>Svařovaná ocelová konstrukce bočnic lavičky opatřená antikorozní úpravou s finální barevností RAL 7016 antracitová šedá, zabroušené sváry, sražené hrany, dřevěné latě sibiřský modřín kotvené nerezovými vruty s hvězdičkovitou hlavou sražené hrany, poznámka:
délka nohy bude přizpůsobena tloušťce navazující dlažby.
4 ks jsou umístěny v dlažbě tl. 120 mm - tzn. noha lavičky bude delší o 60 mm, kotveno chemickými kotvami do betonového základu</t>
  </si>
  <si>
    <t>M02.  Kruhová lavička bez opěradla (celý kruh kolem paty stromu)</t>
  </si>
  <si>
    <t>Průběžná noha pro stavebnici do oblouku - pro lavičky s dřevěnou výplní, kompletní provedení</t>
  </si>
  <si>
    <t>M03.  Lehátko, dl. 1630mm</t>
  </si>
  <si>
    <t xml:space="preserve">Charakter konstrukce: ocelová konstrukce spojená s dřevěnými deskami a lamelami nerezovými šroubovými spoji. nosná kostra: bočnice svařené z ocelových trubek obdélníkového průřezu a z výpalků z ocelového plechu. sedák: desky a lamely z masivního tropického dřeva obdélníkového průřezu. povrchová úprava: ocelová konstrukce bočnic je opatřena ochrannou vrstvou zinku a práškovým vypalovacím lakem RAL7016 antracitová šedá matná. kotvení na dlažbu do betonového základu pomocí závitových tyčí M10.
</t>
  </si>
  <si>
    <t>M04. Krátké lavičky s opěradlem – židle,  (atypické)- kompletní provedení, podrobnosti viz. PD SO 703 - M04</t>
  </si>
  <si>
    <t>M05.  Odpadkový koš</t>
  </si>
  <si>
    <t>Odpadkový koš čtvercového půdorysu opláštěný dřevěnými lamelami, se stříškou, objem nádoby 50 l
charakter konstrukce: ocelová konstrukce s dřevěnými lamelami připojenými pomocí šroubových spojů z nerezu. ocelová konstrukce je opatřena ochrannou vrstvou zinku a práškovým vypalovacím lakem. nosnou kostru tvoří svařenec z výpalků z ocelového plechu tloušťky 4 mm a trubky průřezu 80x80x3. opláštění tvoří: 4 lamely z masivního tropického dřeva lichoběžníkového průřezu 15×37×67×804 mm, 12 lamel z masivního tropického dřeva lichoběžníkového průřezu 15×67×67×804 mm. vnitřní nádoba - ohýbaný pozinkovaný plech tloušťky 0,8 mm, objem 50 l. barevnost ocelové konstrukce: ral 7016 antracitová šedá. kotvení pod dlažbu nebo ve zhutněném terénu do betonového základu pomocí závitových tyčí M12.</t>
  </si>
  <si>
    <t>M06.  Piknikové sezení</t>
  </si>
  <si>
    <t>Sestava stolu a lavic bez opěradel, délka 1,8 m, charakter konstrukce: ocelová konstrukce spojená s dřevěnými deskami pomocí šroubových spojů z nerezu. nosná kostra: svařence ocelových plechů. sedáky a deska stolu: desky z masivního dřeva obdélníkového průřezu - tropické dřevo. povrchová úprava: ocelová konstrukce je opatřena ochrannou vrstvou zinku a práškovým vypalovacím lakem RAL 7016 antracitová šedá matná. kotveno na dlažbu do betonového základu pomocí závitových tyčí.</t>
  </si>
  <si>
    <t>M07.  Stojan na kola</t>
  </si>
  <si>
    <t>Stojan na kola umožňující opření a zamknutí rámu kola ke stojanu. 
Charakter konstrukce: odlitek ze slitiny hliníku. Určen pro obsazení třemi koly. 
Povrchová úprava: odlitek opatřen práškovým vypalovacím lakem.
Tělo: odlitek ze slitiny hliníku. Rozměry 555x610x880mm.
Barevnost: RAL 7016 antracitová šedá - polyesterový práškový lak v jemné struktuře mat 
Kotvení: kotvení na dlažbu do betonového základu pomocí závitových tyčí.</t>
  </si>
  <si>
    <t>M08.  Venkovní knihovna</t>
  </si>
  <si>
    <t>Svařovaná ocelová konstrukce š. 545mm x dl. 575mm x v.2200mm (podrobnosti viz. SO 703 Drobná architektura)  z plechů tl. 5 mm, zabroušené sváry, žárově zinkovaná, opatřená nátěrovým systémem s finální barevností RAL 7016 antracitová šedá matná.
Police dřevěné, spárovka, sibiřský modřín, tl. 18 mm,
Dveře: ocelový rám žárově zinkovaný, opatřený nátěrovým systémem s finální barevností RAL 7016 antracitová šedá matná, zasklení čirým bezpečnostním sklem, ocelové madlo délky 300 mm, samozavírací systém, těsnění dveří proti vniku vlhkosti
Kotvení do betonového základu na 4 chemické kotvy.
Před výrobou bude předložena výrobní dokumentace
k odsouhlasení hlavnímu architektovi projektu. Včetně dopravy na místo a ukotvení do základu. Základ na stropní desce podzemní nádrže na vodu.</t>
  </si>
  <si>
    <t>M09.  Mříž ke stromům</t>
  </si>
  <si>
    <t>Hranatá mříž z vypalované oceli je sestavena z roštů ležících na dvoudílném ocelovém rámu. 
Mříž je opatřena základním antikorozním nátěrem a syntetickou vrchní barvou s barevností RAL 7016 antracitová šedá. Rozměr 1500x1500mm. Kompletní provedení, doprava, příprava a montáž na místě.</t>
  </si>
  <si>
    <t>M10.  Zábradlí schodiště u fontány</t>
  </si>
  <si>
    <t>M11 + M12.  zábradlí schodiště</t>
  </si>
  <si>
    <t>svařovaná ocelová konstrukce z jacklů 40x40x4 mm a patních plechů, zabroušené sváry, žárově zinkovaná konstrukce, opatřená nátěrovým systémem s finální barevností RAL7016 antracitová šedá matná. Kotveno do betonové podkladní části schodiště. Chemická kotva 4 x M12 x 165 ∅15 mm průměr vrtání,  detail kotvení viz RDS.  Kompletní provedení, doprava, příprava a montáž na místě., výměry: ((2,71+0,160+1,06*1+1,10*2)+(0,90+0,16+1,06+1,09))bm*4,10kg, patní plechy 1,00kg*5ks</t>
  </si>
  <si>
    <t>Poznámka : 
všechny svary na viditelných konstrukcích budou před nátěrem zabroušeny tak, aby se o ně nikdo nezranil.</t>
  </si>
  <si>
    <t>M13.  Skluzavka</t>
  </si>
  <si>
    <t>M14.  Informační vitrína</t>
  </si>
  <si>
    <t>M15.  Orientační rozcestník</t>
  </si>
  <si>
    <t>Orientační rozcestník výšky cca 3,2 m
Charakter konstrukce: ocelová konstrukce sloupu doplněná orientačními směrovkami ze slitiny hliníku
povrchová úprava: ocelová konstrukce sloupu je opatřena ochrannou vrstvou zinku a práškovým vypalovacím lakem s barevností ral 7016 antracitová šedá
Hliníkové směrovky jsou opatřeny práškovým vypalovacím lakem a potiskem dle přání stavebníka. dodavatel stavby vypracuje návrh popisů směrovek a předloží ho k odsouhlasení stavebníkovi a architektovi. 
Nosná kostra: sloup z ocelových trubek 89 × 5 mm a 48,3 × 2,6 mm a výpalků z plechu tloušťky 5 a 10 mm
objímky: ocelová konstrukce z trubky 89 × 5 mm a výpalků z plechu tloušťky 10 mm
Směrovky: hliníkový profil obdélného průřezu 120 × 695 × 15 mm zakončený plastovou záslepkou osazený na objímce
Severní rozcestník - směrovky ve třech patrech nad sebou, na rozcestníku celkem 6 směrovek
Jižní rozcestník - směrovky ve čtyřech patrech nad sebou, na rozcestníku celkem 12 směrovek
Kotvení: kotvení pod dlažbu nebo trávník do betonového základu pomocí závitových tyčí M16
hmotnost: 36÷72  kg (dle počtu směrovek)</t>
  </si>
  <si>
    <t>Doprava mobiliáře na místo (M02, M03, M05-M07, M14, M15)</t>
  </si>
  <si>
    <t>Doprava montážní čety  (M02, M03, M05-M07, M14, M15)</t>
  </si>
  <si>
    <t>Doprava montážní čety v předstihu pro zhotovení spodních staveb  (M02, M03, M05-M07, M14, M15)</t>
  </si>
  <si>
    <t>Přípatek za montáž na žulový skládaný povrch</t>
  </si>
  <si>
    <t>M16.  Herní prvek</t>
  </si>
  <si>
    <t xml:space="preserve">Technická charakteristika: vertikální kolotoč "pračka", šířka: 560 mm, výška: 1420 mm, délka: 1370 mm, věk uživatele: 6+, barevnost: limetkově zelená, před výrobou bude předložena výrobní dokumentace k odsouhlasení hlavnímu architektovi projektu. Včetně dopravy a montáže. </t>
  </si>
  <si>
    <t>Výkop pro základové betonové patky, včetně zhutnění podloží, vel. 1000 x 1000x 150 mm, + příprava pro kotvení Herního prvku, kompletní provedení</t>
  </si>
  <si>
    <t>Betonový základ 1000 x 1000x 150 mm cca C25/30 viz. RDS, výztuž ∅ 8 mm, á 100 mm, kompletní provedení</t>
  </si>
  <si>
    <t>Doprava a režie umělý povrch</t>
  </si>
  <si>
    <t>Podkladní vrstvy viz. SO 101- Komunikace a zpevněné plochy</t>
  </si>
  <si>
    <t>M17.  Šachovnice</t>
  </si>
  <si>
    <t>M18. Sloupek elektro sever</t>
  </si>
  <si>
    <t>Poznámka všeobecně: Veškeré ocelové konstrukce jsou antikorozně ošetřeny žárovým zinkováním včetně svarů. Svary vodotěsné, aby nepropouštěly vodu. Koordinace s částí PD elektro a veřejné a architektonické osvětlení.</t>
  </si>
  <si>
    <t>Sestava rozvodných skříní, rozměry pro venkovní prostředí, vodotěsné, IP 67,  uzamykatelné klíčem na fab vložku - konzultovat s s Technologie hl. m. Prahy, rozvodné skříně zapuštěné o cca 90mm za hranu gabionové stěny, nálepka na dvířkách rozvodných skříní dle příslušné normy, viz. část  SO 402</t>
  </si>
  <si>
    <t>M19. Sloupek elektro jih</t>
  </si>
  <si>
    <t>Poznámka všeobecně: Veškeré ocelové konstrukce jsou antikorozně ošetřeny žárovým zinkováním včetně svarů. Svary vodotěsné, aby nepropouštěly vodu. Koordinace s částí  PD elektro a veřejné a architektonické osvětlení.</t>
  </si>
  <si>
    <t>M20. Zabudovaný stojan na vánoční strom</t>
  </si>
  <si>
    <t>Zabudovaný stojan na vánoční strom, poznámka všeobecně: Veškeré ocelové konstrukce jsou antikorozně ošetřeny žárovým zinkováním včetně svarů. Svary vodotěsné, aby nepropouštěly vodu. Detaily  viz . PD SO 703. Koordinace s částí PD SO 101. Kompletní provedení dodávky a montáže včetně spojovacího materiálu. Upřesnění dle podrobného řešení, statického posouzení, detailů kotvení, které budou součástí dokumentace RDS.</t>
  </si>
  <si>
    <t>1.2 Ocel profil IPE120 dl. 1457mm , 4 ks</t>
  </si>
  <si>
    <t>1.4 Ocel. plech tl. 8mm, vel. 399,7mm x 600mm, 2x otvor pro roxor 16, 4 ks</t>
  </si>
  <si>
    <t>1.6 Ocel U profil UPN 50, dl.407mm, 1 ks</t>
  </si>
  <si>
    <t>1.7 Ocel U profil UPN 50, dl.178mm, 2 ks</t>
  </si>
  <si>
    <t>1.8 Ocel plech tl. 3mm, Ø410mm,  1 ks</t>
  </si>
  <si>
    <t>3.1 Ocel. Tyč plochá 160x8mm, tvar dle PD SO 703, 2x otvor Ø17mm, 4ks</t>
  </si>
  <si>
    <t>2.1 Ocel jekl 60x60x3mm, dl. 2110mm, tvar dle PD SO 703, 4 ks</t>
  </si>
  <si>
    <t>2.2 Ocel. tyč  Ø25mm - pouzdro, dl. 66mm, po svaření se pouzdra zafrézují,  8 ks</t>
  </si>
  <si>
    <t>M21.  Trať běhu - zvlněný měkčený povrch</t>
  </si>
  <si>
    <t>Poznámka: 
1. výškové a polohopisné polohy obvodových obrubníků - viz so 101 komunikace a zpevněné plochy
2. v rámci dokumentace RDS bude zpracován podrobný návrh grafiky a předložen k odsouhlasení architektovi stavby
3. vzorek povrchu EPDM bude předložen k odsouhlasení architektovi stavby</t>
  </si>
  <si>
    <t>Pochozí plocha chodníku, zvlněná plocha,
celoprobarvený EPDM povrch s výškou 1 cm + SBR vrstva s výškou 2,5 cm, barva epdm cihlově červená s bílou grafikou, pokládka na betonový podklad</t>
  </si>
  <si>
    <t xml:space="preserve">Penetrace podkladu </t>
  </si>
  <si>
    <t>Celoprobarvený bezpečný polyuretanový povrch 
EPDM 11mm v dané barevnosti</t>
  </si>
  <si>
    <t>Doprava a režie spodní stavba</t>
  </si>
  <si>
    <t>příloha č. 1</t>
  </si>
  <si>
    <t>Všeobecné podmínky k Soupisu prací a dodávek</t>
  </si>
  <si>
    <t>Smluvní strany se budou řídit právním řádem České republiky</t>
  </si>
  <si>
    <t xml:space="preserve">Jednotkové ceny nabídky zahrnují zejména : </t>
  </si>
  <si>
    <t xml:space="preserve">a) Veškeré náklady pro zhotovení bezvadného funkčně způsobilého díla, které je předmětem smlouvy a bude schopno plnit řádně svoji funkci po dobu několika dalších desítek let. </t>
  </si>
  <si>
    <t xml:space="preserve">b) Náklady pro zajištění bezpečnosti práce, ochrany materiálů, součástí a dalších předmětů pro bezvadné realizované dílo. </t>
  </si>
  <si>
    <t>c) Náklady na přípomoce,pomocný a montážní materiál, lešení, přesuny hmot-není-li uvedeno jinak pro vnitřní i vnější dopravu,  na skladování, dovozné, balné, zpětné odevzdání obalů, cla, ochrany konstrukcí, poplatky za skládkovné, recyklaci, dále náklady na veškeré údžbářské, opravárenské, udržovací práce nutné pro zhotovení díla a náklady na podpěrné konstrukce pro jakoukoliv výšku, není-li stanoveno jinak.</t>
  </si>
  <si>
    <t xml:space="preserve">d) Náklady na veškerý úklid na staveništi uvnitř i vně během zhotovování díla bude prováděný pravidelně a konečný úklid před přejímkou. Odvozy prováděné pravidelně zbylé suti, hmot a odpadků během zhotovování díla a dle potřeby. </t>
  </si>
  <si>
    <t>e) Náklady na zhotovení, předložení a odstranění použitých vzorků materiálů a kvality práce pro zhotovení díla, předepsané zkoušky a atesty podle příslušných předpisů nebo potřebných norem pro prokázání bezchybné funkce díla.</t>
  </si>
  <si>
    <t>f) Náklady na ochranu a pojištění díla až do přejímky.</t>
  </si>
  <si>
    <t>g) Náklady na poskytnutí odborného dohledu t.j. odpovědného stavbyvedoucího a vedoucího šéfmontéra.</t>
  </si>
  <si>
    <t>h) Náklady na zhotovení výkresů, výpočtů a dalších výkonů potřebných pro detailní rozpracování projektů předaných zadavatelem, které jsou potřebné pro bezvadnou realizaci díla (realizační, dílenská a montážní dokumentace).</t>
  </si>
  <si>
    <t>i) Náklady na úpravu dokumentace - zpracování skutečného stavu provedeného díla, není-li uvedeno jinak.</t>
  </si>
  <si>
    <t>j) Náklady na zhotovení a demontáž zařízení staveniště a veškerých výkonů sloužících pro zhotovení díla a pro provoz díla uživatelů dále nepotřebných.</t>
  </si>
  <si>
    <t>k) Náklady na úhradu specialistů pro provedení zkoušek, které jsou pro provoz díla potřebné.</t>
  </si>
  <si>
    <t xml:space="preserve">l) Náklady na ochranu proti poškození stávajících konstrukcí nedotčených výstavbou. </t>
  </si>
  <si>
    <t xml:space="preserve">m) Náklady na ochranu proti promočení, povětrnostním a přírodním podmínkám všech stávajících a nových konstrukcí. </t>
  </si>
  <si>
    <t xml:space="preserve">n) Náklady na bezpečnostní opatření, která vyplývají z předpisů o bezpečnosti práce při demontážích, bourání a nové výstavbě. </t>
  </si>
  <si>
    <t>o) Náklady na znečištění a poškození díla. Zhotovitel musí své výkony, zejméná lícní pohledové plochy, obklady, plochy stěn podlahy a jejich povrchy, okna, dveře, zařizovací předměty a všechny ostatní části již zabudované a pod., chránit před zněčištěním a poškozením až do přejímky díla.</t>
  </si>
  <si>
    <r>
      <t xml:space="preserve">1) </t>
    </r>
    <r>
      <rPr>
        <sz val="10"/>
        <rFont val="Arial CE"/>
        <family val="2"/>
        <charset val="238"/>
      </rPr>
      <t>Jednotkové ceny uvedené v Soupise prací budou zahrnovat veškeré práce(montáže)a dodávky potřebné 
pro dokončení a předání díla objednateli do užívání bez vad a nedodělků. Nabízené jednotkové ceny jsou 
pevné ceny, platné až do přejímky ve smyslu obchodního práva. Práce a dodávky výše neuvedené a dodavatelem opodstatněné,uvede samostatně pod čarou(na samostatnou složku),kterou přiloží k nabídce. 
Na pozdější požadavky plynoucí z nejasností nebo omylu jsou vyloučena.Nedílnou součástí výkazu výměr 
je i projektová dokumentace. Dodávka - materiály a kvalifikovaná práce vyžaduje odevzdat dílo jako celek
tak, aby bylo schopno plnit řádně svoji funkci po dobu několika dalších desítek let.</t>
    </r>
  </si>
  <si>
    <r>
      <t xml:space="preserve">2) </t>
    </r>
    <r>
      <rPr>
        <sz val="10"/>
        <rFont val="Arial CE"/>
        <family val="2"/>
        <charset val="238"/>
      </rPr>
      <t>Zhotovitel je povinen si před předáním nabídky překontrolovat Soupis prací a dodávek s výkazem výměr 
dle PD, prohlédnout, přezkoumat staveniště  a jeho okolí a obstarat si všechny nezbytné a přístupné 
informace, které mu umožní zpracovat nabídku úplně a jednoznačně. Musí se přitom mezi jiným podrobně informovat o možnostech dopravy a přístupových cest, o možnostech spojení, obstarávání a skladování materiálu a dalších jiných souvisejících okolností a případná zjištěná rizika ve své nabídce dostatečně 
zohlednit. Pozdější požadavky plynoucí z omylu nebo neznalosti poměrů na staveništi nebo neúplného jsou vyloučena.</t>
    </r>
  </si>
  <si>
    <r>
      <t>3)</t>
    </r>
    <r>
      <rPr>
        <sz val="10"/>
        <rFont val="Arial CE"/>
        <charset val="238"/>
      </rPr>
      <t xml:space="preserve"> Rozebírání konstrukcí bude prováděno opatrně postupným rozebíráním tj. ručním rozebíráním za pomoci ručních nástrojů  a páčidel s tím, že nebudou poškozeny žádné stávající konstrukce (stávající i nové). Budouli přesto poškozeny, jejich uvedení do původního stavu a s tím spojenou škodu (finanční náklady a další) si ponese v plném rozsahu zhotovitell.</t>
    </r>
  </si>
  <si>
    <r>
      <t xml:space="preserve">4) </t>
    </r>
    <r>
      <rPr>
        <sz val="10"/>
        <rFont val="Arial CE"/>
        <charset val="238"/>
      </rPr>
      <t>Jednotkové ceny budou také zohledňovat požární ochranu:
Konstrukce budovy, členění stavby a použité materiály musí odpovídat českým požárním předpisům,  požadavkům a musí být v souladu s nejnovějšími poznatky. Požární předěly musí být řešeny esteticky (pokud možno beze změn v materiálech). Jednotkové ceny budou též obsahovat požární ucpávky, např. pískové. Respektována musí být ČSN 730872 "Požární bezpečnost staveb". Ochrana staveb proti šíření požáru vzduchotechnickým zařízením a technologickými prostupy a navazující předpisy.</t>
    </r>
  </si>
  <si>
    <r>
      <t>5)</t>
    </r>
    <r>
      <rPr>
        <sz val="10"/>
        <rFont val="Arial CE"/>
        <charset val="238"/>
      </rPr>
      <t xml:space="preserve"> Jestliže se zdají být rozdílná pojetí ohledně druhu provedení při vypracování nabídky, je možná třeba před předáním nabídky vyžádat si vyjasnění se zadavatelem.</t>
    </r>
  </si>
  <si>
    <r>
      <t xml:space="preserve">6) </t>
    </r>
    <r>
      <rPr>
        <sz val="10"/>
        <rFont val="Arial CE"/>
        <charset val="238"/>
      </rPr>
      <t>Zhotovitel prohlašuje, že všechny podmínky výběrového řízení ve všech jeho částech a přílohách zcela přečetl, přezkoumal a pochopil, a že uznává bez omezení, že pro něho jsou požadované výkony jasné a nerozporné, a že na základě své zkušenosti, technického a dispozičního personálu je schopen realizovat smluvní výkony bez závad, kompletně s funkční spolehlivostí, pohotově k použití respektivě provozuschopně podle uznávaných pravidel stavební techniky v daných lhůtách a termínech. Záruční lhůta činí zásadně minimálně 10(desel ) let.</t>
    </r>
  </si>
  <si>
    <r>
      <t>7)</t>
    </r>
    <r>
      <rPr>
        <sz val="10"/>
        <rFont val="Arial CE"/>
        <charset val="238"/>
      </rPr>
      <t xml:space="preserve"> </t>
    </r>
    <r>
      <rPr>
        <sz val="10"/>
        <rFont val="Arial CE"/>
        <family val="2"/>
        <charset val="238"/>
      </rPr>
      <t>Existuje striktní zákaz používání látek poškozující lakové vrstvy (způsobující prohlubně) zejména polytetrafluorénů a obdobných látek. Tyto látky nesmí být ani ve stavebních materiálech, pomocných stavebních materiálech, ve stavebních dílcích, pracovních prostředcích a pod. na staveništi. Personál staveniště je třeba v pravidelných časových odstupech o tomto zákazu poučit. Poučení je nutno zaprotokolovat, vždy jednu kopii je třeba předat objednateli k založení.</t>
    </r>
  </si>
  <si>
    <r>
      <t xml:space="preserve">8) </t>
    </r>
    <r>
      <rPr>
        <sz val="10"/>
        <rFont val="Arial CE"/>
        <family val="2"/>
        <charset val="238"/>
      </rPr>
      <t>Rozpory v Soupisu prací a dodávek samy o sobě nebo v prováděcích podkladech k tomu příslušejících, je nutno, jakmile jsou zhotoviteli díla známy, písemně je sdělit objednateli.</t>
    </r>
  </si>
  <si>
    <r>
      <t>9)</t>
    </r>
    <r>
      <rPr>
        <sz val="10"/>
        <rFont val="Arial CE"/>
        <charset val="238"/>
      </rPr>
      <t xml:space="preserve"> Jestliže požadovaná sdělení objednateli nedojdou, i když byla zhotoviteli známa, ručí zhotovitel díla za škody a špatné výkony, které jsou důsledkem takovýchto nejasností,  nemůže z těchto rozporů vyvodit žádné nároky na náhradu škody nebo omezení svého ručení.</t>
    </r>
  </si>
  <si>
    <r>
      <t>10</t>
    </r>
    <r>
      <rPr>
        <sz val="10"/>
        <rFont val="Arial CE"/>
        <charset val="238"/>
      </rPr>
      <t>) Nedílnou součástí Soupisu prací a dodávek je i projektová dokumentace. Soupis prací a dodávek je určen pro ocenění díla nikoliv náhrada dokumentace.</t>
    </r>
  </si>
  <si>
    <t>Celková rekapitulace stavby</t>
  </si>
  <si>
    <t>Rekapitulace bez DPH</t>
  </si>
  <si>
    <t>Rekapitulace s DPH 21%</t>
  </si>
  <si>
    <t>SO 402 Elektro silnoproud</t>
  </si>
  <si>
    <t>SO 101 Komunikace a zpevněné plochy</t>
  </si>
  <si>
    <t>SO 301 Kanalizace</t>
  </si>
  <si>
    <t xml:space="preserve">SO 401 Veřejné osvětlení </t>
  </si>
  <si>
    <t>SO 701 Fontana - stavební řešení</t>
  </si>
  <si>
    <t>SO 702 Technologie fontány</t>
  </si>
  <si>
    <t>SO 801 Vegetační úpravy</t>
  </si>
  <si>
    <t>SO 403 Preložka optického kabelu T- Mobile</t>
  </si>
  <si>
    <r>
      <rPr>
        <b/>
        <sz val="10"/>
        <rFont val="Arial"/>
        <family val="2"/>
        <charset val="238"/>
      </rPr>
      <t xml:space="preserve">Vpust pod pítkem </t>
    </r>
    <r>
      <rPr>
        <sz val="10"/>
        <rFont val="Arial"/>
        <family val="2"/>
        <charset val="238"/>
      </rPr>
      <t>s mřížkou (viz. Technická zpráva SO 302)</t>
    </r>
  </si>
  <si>
    <r>
      <rPr>
        <b/>
        <sz val="10"/>
        <rFont val="Arial"/>
        <family val="2"/>
        <charset val="238"/>
      </rPr>
      <t xml:space="preserve">Zasakovací objekt </t>
    </r>
    <r>
      <rPr>
        <sz val="10"/>
        <rFont val="Arial"/>
        <family val="2"/>
        <charset val="238"/>
      </rPr>
      <t>- odvodnění pítka,prostor 2,0*5,0m* hloubky 0,75 m vyplněný štěrkem, kačírkem frakce 32/63mm včetně zem. prací</t>
    </r>
  </si>
  <si>
    <r>
      <rPr>
        <b/>
        <sz val="10"/>
        <rFont val="Arial"/>
        <family val="2"/>
        <charset val="238"/>
      </rPr>
      <t>Geotextilie</t>
    </r>
    <r>
      <rPr>
        <sz val="10"/>
        <rFont val="Arial"/>
        <family val="2"/>
        <charset val="238"/>
      </rPr>
      <t>, dno a boky vsakovacího objektu,geotextilie pro vyztužení, separaci a filtraci tkaná z polyesteru podélná/příčná pevnost 150/50 kN/m výměra:(2,0+5,0)*2*0,75+2,0*5,0*2</t>
    </r>
  </si>
  <si>
    <r>
      <rPr>
        <b/>
        <sz val="10"/>
        <rFont val="Arial"/>
        <family val="2"/>
        <charset val="238"/>
      </rPr>
      <t>Rozváděcí</t>
    </r>
    <r>
      <rPr>
        <sz val="10"/>
        <rFont val="Arial"/>
        <family val="2"/>
        <charset val="238"/>
      </rPr>
      <t xml:space="preserve"> potrubí v zasakovacím objektu, děrování bez zanášení (ucpávání), výměra: cca 10bm</t>
    </r>
  </si>
  <si>
    <r>
      <t xml:space="preserve">Potrubí DN150 ukončeno </t>
    </r>
    <r>
      <rPr>
        <b/>
        <sz val="10"/>
        <rFont val="Arial"/>
        <family val="2"/>
        <charset val="238"/>
      </rPr>
      <t>zpětnou klapkou</t>
    </r>
    <r>
      <rPr>
        <sz val="10"/>
        <rFont val="Arial"/>
        <family val="2"/>
        <charset val="238"/>
      </rPr>
      <t xml:space="preserve"> v technologické šachtě</t>
    </r>
  </si>
  <si>
    <r>
      <rPr>
        <b/>
        <sz val="10"/>
        <rFont val="Arial"/>
        <family val="2"/>
        <charset val="238"/>
      </rPr>
      <t>Hloubení jam nezapažených</t>
    </r>
    <r>
      <rPr>
        <sz val="10"/>
        <rFont val="Arial"/>
        <family val="2"/>
        <charset val="238"/>
      </rPr>
      <t xml:space="preserve"> v hornině třídy těžitelnosti II, skupiny 4 (navážka) objem do 50m3 strojně ; výměra: 
0,75*(3,56+0,60*2)*(7,22+0,60*2)</t>
    </r>
  </si>
  <si>
    <r>
      <rPr>
        <b/>
        <sz val="10"/>
        <rFont val="Arial"/>
        <family val="2"/>
        <charset val="238"/>
      </rPr>
      <t>Vodorovné přemístění</t>
    </r>
    <r>
      <rPr>
        <sz val="10"/>
        <rFont val="Arial"/>
        <family val="2"/>
        <charset val="238"/>
      </rPr>
      <t xml:space="preserve"> výkoplku </t>
    </r>
    <r>
      <rPr>
        <b/>
        <sz val="10"/>
        <rFont val="Arial"/>
        <family val="2"/>
        <charset val="238"/>
      </rPr>
      <t>na skládku</t>
    </r>
    <r>
      <rPr>
        <sz val="10"/>
        <rFont val="Arial"/>
        <family val="2"/>
        <charset val="238"/>
      </rPr>
      <t xml:space="preserve"> do 10km výměra : 30,06m3*cca1,7t/m3</t>
    </r>
  </si>
  <si>
    <r>
      <rPr>
        <b/>
        <sz val="10"/>
        <rFont val="Arial"/>
        <family val="2"/>
        <charset val="238"/>
      </rPr>
      <t xml:space="preserve">Poplatek za skládku </t>
    </r>
    <r>
      <rPr>
        <sz val="10"/>
        <rFont val="Arial"/>
        <family val="2"/>
        <charset val="238"/>
      </rPr>
      <t>(navážka) výměra ; 30,06m3 x 1,7t/m3</t>
    </r>
  </si>
  <si>
    <r>
      <rPr>
        <b/>
        <sz val="10"/>
        <rFont val="Arial"/>
        <family val="2"/>
        <charset val="238"/>
      </rPr>
      <t xml:space="preserve">Podklad z mechanicky zpevněného 
</t>
    </r>
    <r>
      <rPr>
        <sz val="10"/>
        <rFont val="Arial"/>
        <family val="2"/>
        <charset val="238"/>
      </rPr>
      <t>kameniva MZK (minerální beton) s 
rozprostřením a s hutněním, po zhutnění 
tl. 100 mm ; 
výměra (3,56+0,60*2)*(7,22+0,60*2)</t>
    </r>
  </si>
  <si>
    <r>
      <rPr>
        <b/>
        <sz val="10"/>
        <rFont val="Arial"/>
        <family val="2"/>
        <charset val="238"/>
      </rPr>
      <t xml:space="preserve">Demontáž ploch </t>
    </r>
    <r>
      <rPr>
        <sz val="10"/>
        <rFont val="Arial"/>
        <family val="2"/>
        <charset val="238"/>
      </rPr>
      <t>z betonové zámkové dlažby, přesun na deponii, očištění a zpětné použití včetně hutněného podkladního souvrství, výměra: silnice u rybníka 12,25bm*1,5bm</t>
    </r>
  </si>
  <si>
    <r>
      <rPr>
        <b/>
        <sz val="10"/>
        <rFont val="Arial"/>
        <family val="2"/>
        <charset val="238"/>
      </rPr>
      <t>Nádrž z integrovaného</t>
    </r>
    <r>
      <rPr>
        <sz val="10"/>
        <rFont val="Arial"/>
        <family val="2"/>
        <charset val="238"/>
      </rPr>
      <t xml:space="preserve"> polypropylénu PP nádrž, podzemní, hranatá, k obetonování (2,5/6,16/2,16m; užitný objem 22,32m3), dvě šachty 600x600mm</t>
    </r>
  </si>
  <si>
    <r>
      <rPr>
        <b/>
        <sz val="10"/>
        <rFont val="Arial"/>
        <family val="2"/>
        <charset val="238"/>
      </rPr>
      <t>Výztuž do obetonování</t>
    </r>
    <r>
      <rPr>
        <sz val="10"/>
        <rFont val="Arial"/>
        <family val="2"/>
        <charset val="238"/>
      </rPr>
      <t xml:space="preserve"> nádrže, 50kg/m3</t>
    </r>
  </si>
  <si>
    <r>
      <rPr>
        <b/>
        <sz val="10"/>
        <rFont val="Arial"/>
        <family val="2"/>
        <charset val="238"/>
      </rPr>
      <t xml:space="preserve">Bednění obetonování </t>
    </r>
    <r>
      <rPr>
        <sz val="10"/>
        <rFont val="Arial"/>
        <family val="2"/>
        <charset val="238"/>
      </rPr>
      <t>nádrže,(zřízení a odstranění ;  výměra: (2,50+0,20*2+6,16+0,20*2)*(2,16+0,20+0,15)+hrdla šachet (0,76+0,20*2)*4*0,35*2ks</t>
    </r>
  </si>
  <si>
    <r>
      <rPr>
        <b/>
        <sz val="10"/>
        <rFont val="Arial"/>
        <family val="2"/>
        <charset val="238"/>
      </rPr>
      <t xml:space="preserve">Napuštění až po </t>
    </r>
    <r>
      <rPr>
        <sz val="10"/>
        <rFont val="Arial"/>
        <family val="2"/>
        <charset val="238"/>
      </rPr>
      <t xml:space="preserve">montáži nádrže vodou při betonování a vypuštění </t>
    </r>
  </si>
  <si>
    <r>
      <rPr>
        <b/>
        <sz val="10"/>
        <rFont val="Arial"/>
        <family val="2"/>
        <charset val="238"/>
      </rPr>
      <t xml:space="preserve">Podepření </t>
    </r>
    <r>
      <rPr>
        <sz val="10"/>
        <rFont val="Arial"/>
        <family val="2"/>
        <charset val="238"/>
      </rPr>
      <t>(zřízení+odstranění) stropu nádrže stojkami při  betonování ; výměra : 2,80*6,45</t>
    </r>
  </si>
  <si>
    <r>
      <rPr>
        <b/>
        <sz val="10"/>
        <rFont val="Arial"/>
        <family val="2"/>
        <charset val="238"/>
      </rPr>
      <t xml:space="preserve">Podkladní betonová </t>
    </r>
    <r>
      <rPr>
        <sz val="10"/>
        <rFont val="Arial"/>
        <family val="2"/>
        <charset val="238"/>
      </rPr>
      <t>deska C25/30 vyztužená, výměra: 3,56bm*7,22bm*0,20bm</t>
    </r>
  </si>
  <si>
    <r>
      <rPr>
        <b/>
        <sz val="10"/>
        <rFont val="Arial"/>
        <family val="2"/>
        <charset val="238"/>
      </rPr>
      <t>Podklad</t>
    </r>
    <r>
      <rPr>
        <sz val="10"/>
        <rFont val="Arial"/>
        <family val="2"/>
        <charset val="238"/>
      </rPr>
      <t xml:space="preserve"> </t>
    </r>
    <r>
      <rPr>
        <b/>
        <sz val="10"/>
        <rFont val="Arial"/>
        <family val="2"/>
        <charset val="238"/>
      </rPr>
      <t>z</t>
    </r>
    <r>
      <rPr>
        <sz val="10"/>
        <rFont val="Arial"/>
        <family val="2"/>
        <charset val="238"/>
      </rPr>
      <t xml:space="preserve"> mechanicky zpevněného </t>
    </r>
    <r>
      <rPr>
        <b/>
        <sz val="10"/>
        <rFont val="Arial"/>
        <family val="2"/>
        <charset val="238"/>
      </rPr>
      <t>kameniva</t>
    </r>
    <r>
      <rPr>
        <sz val="10"/>
        <rFont val="Arial"/>
        <family val="2"/>
        <charset val="238"/>
      </rPr>
      <t xml:space="preserve"> MZK (minerální beton) s rozprostřením a </t>
    </r>
    <r>
      <rPr>
        <b/>
        <sz val="10"/>
        <rFont val="Arial"/>
        <family val="2"/>
        <charset val="238"/>
      </rPr>
      <t>s hutněním, po zhutnění tl. 100 mm</t>
    </r>
  </si>
  <si>
    <r>
      <rPr>
        <b/>
        <sz val="10"/>
        <rFont val="Arial"/>
        <family val="2"/>
        <charset val="238"/>
      </rPr>
      <t>Betonová deska</t>
    </r>
    <r>
      <rPr>
        <sz val="10"/>
        <rFont val="Arial"/>
        <family val="2"/>
        <charset val="238"/>
      </rPr>
      <t xml:space="preserve"> stropu C25/30 tl. 150mm vyztužená, výměra: 2,80bm*6,45*0,15bm-(0,60*0,60*0,15)*2</t>
    </r>
  </si>
  <si>
    <r>
      <rPr>
        <b/>
        <sz val="10"/>
        <rFont val="Arial"/>
        <family val="2"/>
        <charset val="238"/>
      </rPr>
      <t>Bednění stropn</t>
    </r>
    <r>
      <rPr>
        <sz val="10"/>
        <rFont val="Arial"/>
        <family val="2"/>
        <charset val="238"/>
      </rPr>
      <t>í desky (zřízení+odstranění) ;  
výměra: (2,80*6,45)+0,15*(2,80+6,45)*2</t>
    </r>
  </si>
  <si>
    <r>
      <rPr>
        <b/>
        <sz val="10"/>
        <rFont val="Arial"/>
        <family val="2"/>
        <charset val="238"/>
      </rPr>
      <t xml:space="preserve">Výztuž betonové </t>
    </r>
    <r>
      <rPr>
        <sz val="10"/>
        <rFont val="Arial"/>
        <family val="2"/>
        <charset val="238"/>
      </rPr>
      <t>desky stropu, cca výměra: 820kg, cca ocel B500B</t>
    </r>
  </si>
  <si>
    <r>
      <rPr>
        <b/>
        <sz val="10"/>
        <rFont val="Arial"/>
        <family val="2"/>
        <charset val="238"/>
      </rPr>
      <t xml:space="preserve">Bednění betonové desky </t>
    </r>
    <r>
      <rPr>
        <sz val="10"/>
        <rFont val="Arial"/>
        <family val="2"/>
        <charset val="238"/>
      </rPr>
      <t>(zřízení+ odstranění) ; výměra: (0,20*(3,56+7,22)*2</t>
    </r>
  </si>
  <si>
    <r>
      <rPr>
        <b/>
        <sz val="10"/>
        <rFont val="Arial"/>
        <family val="2"/>
        <charset val="238"/>
      </rPr>
      <t>Štěrkopískový podsyp</t>
    </r>
    <r>
      <rPr>
        <sz val="10"/>
        <rFont val="Arial"/>
        <family val="2"/>
        <charset val="238"/>
      </rPr>
      <t xml:space="preserve"> frakce 16-32mm, výměra: 3,56bm*7,22bm*0,35bm</t>
    </r>
  </si>
  <si>
    <r>
      <rPr>
        <b/>
        <sz val="10"/>
        <rFont val="Arial"/>
        <family val="2"/>
        <charset val="238"/>
      </rPr>
      <t>Vyhledání</t>
    </r>
    <r>
      <rPr>
        <sz val="10"/>
        <rFont val="Arial"/>
        <family val="2"/>
        <charset val="238"/>
      </rPr>
      <t xml:space="preserve">  detektorem a vytyčení stávajících inženýrských sítí (např. el.kabelů a kabelových tratí  silno a slaboproudých, potrubí vody a kanalizace) ve spolupráci správců sítí. </t>
    </r>
  </si>
  <si>
    <r>
      <rPr>
        <b/>
        <sz val="10"/>
        <rFont val="Arial"/>
        <family val="2"/>
        <charset val="238"/>
      </rPr>
      <t xml:space="preserve">Dočasné zajištění - </t>
    </r>
    <r>
      <rPr>
        <sz val="10"/>
        <rFont val="Arial"/>
        <family val="2"/>
        <charset val="238"/>
      </rPr>
      <t xml:space="preserve"> stávajících inženýrských sítí během výkopových prací, podél celé délky na pozemku, výměra cca: (49+61,5)*10+49*3
Nutno zajistit před prováděním zemních prací.</t>
    </r>
  </si>
  <si>
    <r>
      <rPr>
        <b/>
        <sz val="10"/>
        <rFont val="Arial"/>
        <family val="2"/>
        <charset val="238"/>
      </rPr>
      <t>Dočasné zajištění kabelů</t>
    </r>
    <r>
      <rPr>
        <sz val="10"/>
        <rFont val="Arial"/>
        <family val="2"/>
        <charset val="238"/>
      </rPr>
      <t xml:space="preserve"> a kabelových tratí z více než 6 volně ložených kabelů (61,5+50,5)*2</t>
    </r>
  </si>
  <si>
    <r>
      <rPr>
        <b/>
        <sz val="10"/>
        <rFont val="Arial"/>
        <family val="2"/>
        <charset val="238"/>
      </rPr>
      <t xml:space="preserve">Dočasné zajištění kabelů </t>
    </r>
    <r>
      <rPr>
        <sz val="10"/>
        <rFont val="Arial"/>
        <family val="2"/>
        <charset val="238"/>
      </rPr>
      <t>a kabelových tratí ze 3 volně ložených kabelů (50,5*3)*2</t>
    </r>
  </si>
  <si>
    <r>
      <rPr>
        <b/>
        <sz val="10"/>
        <rFont val="Arial"/>
        <family val="2"/>
        <charset val="238"/>
      </rPr>
      <t>Dočasné zajištění potrubí</t>
    </r>
    <r>
      <rPr>
        <sz val="10"/>
        <rFont val="Arial"/>
        <family val="2"/>
        <charset val="238"/>
      </rPr>
      <t xml:space="preserve"> betonového, ŽB nebo kameninového DN do 500 mm (61,5+49)bm</t>
    </r>
  </si>
  <si>
    <r>
      <t xml:space="preserve">Bourání kcí v hloubených vykopávkách </t>
    </r>
    <r>
      <rPr>
        <sz val="10"/>
        <rFont val="Arial"/>
        <family val="2"/>
        <charset val="238"/>
      </rPr>
      <t>( z betonu prostého strojně cca ( silnice  z betonových panelů) ve východní a severní části pozemku dle IGP o mocnosti cca  průměrně 0,6m, výměra cca : (61,31m d.*6,5m  š.*0,6+40,50*6,50*0,6)*1,20</t>
    </r>
  </si>
  <si>
    <r>
      <t>Vodorovné přemístění do 10000m výkopku</t>
    </r>
    <r>
      <rPr>
        <sz val="10"/>
        <rFont val="Arial"/>
        <family val="2"/>
        <charset val="238"/>
      </rPr>
      <t>/sypaniny z</t>
    </r>
    <r>
      <rPr>
        <b/>
        <sz val="10"/>
        <rFont val="Arial"/>
        <family val="2"/>
        <charset val="238"/>
      </rPr>
      <t xml:space="preserve"> </t>
    </r>
    <r>
      <rPr>
        <sz val="10"/>
        <rFont val="Arial"/>
        <family val="2"/>
        <charset val="238"/>
      </rPr>
      <t>horniny třídy těžitelnosti II,skupiny 4+5 (beton+navážka)</t>
    </r>
  </si>
  <si>
    <r>
      <t xml:space="preserve">Rozebrání dlažeb z mozaiky </t>
    </r>
    <r>
      <rPr>
        <sz val="10"/>
        <rFont val="Arial"/>
        <family val="2"/>
        <charset val="238"/>
      </rPr>
      <t>komunikací pro pěší, ručně, včetně lože a naložení na dopravní prostředek (k dalšímu použití)</t>
    </r>
  </si>
  <si>
    <r>
      <rPr>
        <b/>
        <sz val="10"/>
        <rFont val="Arial"/>
        <family val="2"/>
        <charset val="238"/>
      </rPr>
      <t>Očištění dlažebních kostek mozaikových</t>
    </r>
    <r>
      <rPr>
        <sz val="10"/>
        <rFont val="Arial"/>
        <family val="2"/>
        <charset val="238"/>
      </rPr>
      <t xml:space="preserve"> kamenivem těženým </t>
    </r>
  </si>
  <si>
    <r>
      <t xml:space="preserve">Vytrhání obrub chodníkových </t>
    </r>
    <r>
      <rPr>
        <sz val="10"/>
        <rFont val="Arial"/>
        <family val="2"/>
        <charset val="238"/>
      </rPr>
      <t xml:space="preserve">ležatých včetně lože a naložení na dopravní prostředek </t>
    </r>
    <r>
      <rPr>
        <b/>
        <sz val="10"/>
        <rFont val="Arial"/>
        <family val="2"/>
        <charset val="238"/>
      </rPr>
      <t xml:space="preserve">
(k dalšímu použití)</t>
    </r>
  </si>
  <si>
    <r>
      <rPr>
        <b/>
        <sz val="10"/>
        <rFont val="Arial"/>
        <family val="2"/>
        <charset val="238"/>
      </rPr>
      <t>Očištění vybouraných obrubníků chodníkových</t>
    </r>
    <r>
      <rPr>
        <sz val="10"/>
        <rFont val="Arial"/>
        <family val="2"/>
        <charset val="238"/>
      </rPr>
      <t xml:space="preserve"> od spojovacího materiálu</t>
    </r>
  </si>
  <si>
    <r>
      <rPr>
        <b/>
        <sz val="10"/>
        <rFont val="Arial"/>
        <family val="2"/>
        <charset val="238"/>
      </rPr>
      <t xml:space="preserve">Vodorovné přemístění žulové mozaiky  </t>
    </r>
    <r>
      <rPr>
        <sz val="10"/>
        <rFont val="Arial"/>
        <family val="2"/>
        <charset val="238"/>
      </rPr>
      <t>do 200m, se složením, na mezidepon. ke zpětnému</t>
    </r>
    <r>
      <rPr>
        <b/>
        <sz val="10"/>
        <rFont val="Arial"/>
        <family val="2"/>
        <charset val="238"/>
      </rPr>
      <t xml:space="preserve"> použití</t>
    </r>
    <r>
      <rPr>
        <sz val="10"/>
        <rFont val="Arial"/>
        <family val="2"/>
        <charset val="238"/>
      </rPr>
      <t>; chodník podél Mlad. Běch. 
(146,97m2+51,06m2+115,1m2)*0,281)=88t</t>
    </r>
  </si>
  <si>
    <r>
      <rPr>
        <b/>
        <sz val="10"/>
        <rFont val="Arial"/>
        <family val="2"/>
        <charset val="238"/>
      </rPr>
      <t>Očištění dlaždic betonových  zámkových</t>
    </r>
    <r>
      <rPr>
        <sz val="10"/>
        <rFont val="Arial"/>
        <family val="2"/>
        <charset val="238"/>
      </rPr>
      <t xml:space="preserve"> z rozebraných dlaždic ručně</t>
    </r>
  </si>
  <si>
    <r>
      <t>Poplatek z</t>
    </r>
    <r>
      <rPr>
        <sz val="10"/>
        <rFont val="Arial"/>
        <family val="2"/>
        <charset val="238"/>
      </rPr>
      <t xml:space="preserve">a uložení na skládce (skládkovné) odpadu </t>
    </r>
    <r>
      <rPr>
        <b/>
        <sz val="10"/>
        <rFont val="Arial"/>
        <family val="2"/>
        <charset val="238"/>
      </rPr>
      <t>asfaltového</t>
    </r>
    <r>
      <rPr>
        <sz val="10"/>
        <rFont val="Arial"/>
        <family val="2"/>
        <charset val="238"/>
      </rPr>
      <t xml:space="preserve"> bez dehtu kód odpadu 17 03 02</t>
    </r>
  </si>
  <si>
    <r>
      <t xml:space="preserve">Odstranění podkladu z kameniva drceného, </t>
    </r>
    <r>
      <rPr>
        <sz val="10"/>
        <rFont val="Arial"/>
        <family val="2"/>
        <charset val="238"/>
      </rPr>
      <t>strojně,  tl. 350 mm plochy přes 200m2 ; 
výměra : 360,62m2 + 269 m2</t>
    </r>
  </si>
  <si>
    <r>
      <t xml:space="preserve">Dtto, </t>
    </r>
    <r>
      <rPr>
        <sz val="10"/>
        <rFont val="Arial"/>
        <family val="2"/>
        <charset val="238"/>
      </rPr>
      <t>avšak tl. 300 plochy přes 50 do 200m2 s naložením;
výměra : (146,97m2+51,06m2+dlažba u Star. Pošty 138+121m2+75,26m2+74,65m2+ 132,40m2+  12,5m2 + 28)m2</t>
    </r>
  </si>
  <si>
    <r>
      <t xml:space="preserve">Vodorovná </t>
    </r>
    <r>
      <rPr>
        <sz val="10"/>
        <rFont val="Arial"/>
        <family val="2"/>
        <charset val="238"/>
      </rPr>
      <t>doprava suti tam a zpět ze sypkých materiálů do cca 300m*2  na meziskládku a k dalšímu použití do násypů ( přesnou vzdálenost určí zástupce investora)</t>
    </r>
  </si>
  <si>
    <t>hmoty 
 t / celkem</t>
  </si>
  <si>
    <r>
      <rPr>
        <b/>
        <sz val="10"/>
        <rFont val="Arial"/>
        <family val="2"/>
        <charset val="238"/>
      </rPr>
      <t>Základové pasy </t>
    </r>
    <r>
      <rPr>
        <sz val="10"/>
        <rFont val="Arial"/>
        <family val="2"/>
        <charset val="238"/>
      </rPr>
      <t>ze ŽB bez zvýšených nároků na prostředí tř. C 25/30 (koruna základů pro provedení spádu)</t>
    </r>
  </si>
  <si>
    <r>
      <rPr>
        <b/>
        <sz val="10"/>
        <rFont val="Arial"/>
        <family val="2"/>
        <charset val="238"/>
      </rPr>
      <t>Bednění</t>
    </r>
    <r>
      <rPr>
        <sz val="10"/>
        <rFont val="Arial"/>
        <family val="2"/>
        <charset val="238"/>
      </rPr>
      <t> základových pasů - zřízení (koruna základů pro provedení spádu)</t>
    </r>
  </si>
  <si>
    <r>
      <rPr>
        <b/>
        <sz val="10"/>
        <rFont val="Arial"/>
        <family val="2"/>
        <charset val="238"/>
      </rPr>
      <t>Dtto</t>
    </r>
    <r>
      <rPr>
        <sz val="10"/>
        <rFont val="Arial"/>
        <family val="2"/>
        <charset val="238"/>
      </rPr>
      <t>, avšak odstranění (koruna základů pro provedení spádu)</t>
    </r>
  </si>
  <si>
    <r>
      <rPr>
        <b/>
        <sz val="10"/>
        <rFont val="Arial"/>
        <family val="2"/>
        <charset val="238"/>
      </rPr>
      <t>Výztuž </t>
    </r>
    <r>
      <rPr>
        <sz val="10"/>
        <rFont val="Arial"/>
        <family val="2"/>
        <charset val="238"/>
      </rPr>
      <t>základových pasů betonářskou 
ocelí 10 505 (R) ; 50kg/m3</t>
    </r>
  </si>
  <si>
    <t>Přesun hmot</t>
  </si>
  <si>
    <r>
      <rPr>
        <b/>
        <sz val="10"/>
        <rFont val="Arial"/>
        <family val="2"/>
        <charset val="238"/>
      </rPr>
      <t>Přesun</t>
    </r>
    <r>
      <rPr>
        <sz val="10"/>
        <rFont val="Arial"/>
        <family val="2"/>
        <charset val="238"/>
      </rPr>
      <t xml:space="preserve"> hmot</t>
    </r>
  </si>
  <si>
    <t xml:space="preserve">Přesun hmot </t>
  </si>
  <si>
    <r>
      <rPr>
        <b/>
        <sz val="10"/>
        <rFont val="Arial"/>
        <family val="2"/>
        <charset val="238"/>
      </rPr>
      <t>Dobetonávka,</t>
    </r>
    <r>
      <rPr>
        <sz val="10"/>
        <rFont val="Arial"/>
        <family val="2"/>
        <charset val="238"/>
      </rPr>
      <t xml:space="preserve"> beton C25/30, včetně nákladů na bednění (za úhelníkem)</t>
    </r>
  </si>
  <si>
    <r>
      <rPr>
        <b/>
        <sz val="10"/>
        <rFont val="Arial"/>
        <family val="2"/>
        <charset val="238"/>
      </rPr>
      <t xml:space="preserve">Nabetonování </t>
    </r>
    <r>
      <rPr>
        <sz val="10"/>
        <rFont val="Arial"/>
        <family val="2"/>
        <charset val="238"/>
      </rPr>
      <t>stupňů, beton C25/30, výměra:  0,40m2*1,35*10ks</t>
    </r>
  </si>
  <si>
    <r>
      <rPr>
        <b/>
        <sz val="10"/>
        <rFont val="Arial"/>
        <family val="2"/>
        <charset val="238"/>
      </rPr>
      <t>Zřízení </t>
    </r>
    <r>
      <rPr>
        <sz val="10"/>
        <rFont val="Arial"/>
        <family val="2"/>
        <charset val="238"/>
      </rPr>
      <t>bednění stupňů přímočarých schodišť</t>
    </r>
  </si>
  <si>
    <r>
      <rPr>
        <b/>
        <sz val="10"/>
        <rFont val="Arial"/>
        <family val="2"/>
        <charset val="238"/>
      </rPr>
      <t>Dtto,</t>
    </r>
    <r>
      <rPr>
        <sz val="10"/>
        <rFont val="Arial"/>
        <family val="2"/>
        <charset val="238"/>
      </rPr>
      <t xml:space="preserve"> avšak odstranění bednění </t>
    </r>
  </si>
  <si>
    <t>výměra: 3,50*6,30-(0,90*0,90+1,10*1,10)+
0,30*2,70+hrdlo šachet 0,53*0,90*4+
(0,15*2+0,30)*(1,20+0,90)*2+0,59*1,10*4+
(0,15*2+0,30)*(1,40+1,10)*2</t>
  </si>
  <si>
    <t>skladba A1 - 
skladba 6 viz SO 101 - 
Komunikace a zpevněné plochy</t>
  </si>
  <si>
    <r>
      <t xml:space="preserve">cementová vyrovnávací stěrka  10 mm  
</t>
    </r>
    <r>
      <rPr>
        <sz val="10"/>
        <rFont val="Arial"/>
        <family val="2"/>
        <charset val="238"/>
      </rPr>
      <t>pod izolaci</t>
    </r>
  </si>
  <si>
    <r>
      <rPr>
        <b/>
        <sz val="10"/>
        <rFont val="Arial"/>
        <family val="2"/>
        <charset val="238"/>
      </rPr>
      <t>Prostup</t>
    </r>
    <r>
      <rPr>
        <sz val="10"/>
        <rFont val="Arial"/>
        <family val="2"/>
        <charset val="238"/>
      </rPr>
      <t xml:space="preserve"> PVC-U DN100 -výtlak plnící kalík, Kompletní provedení</t>
    </r>
  </si>
  <si>
    <r>
      <rPr>
        <b/>
        <sz val="10"/>
        <rFont val="Arial"/>
        <family val="2"/>
        <charset val="238"/>
      </rPr>
      <t xml:space="preserve">Prostup </t>
    </r>
    <r>
      <rPr>
        <sz val="10"/>
        <rFont val="Arial"/>
        <family val="2"/>
        <charset val="238"/>
      </rPr>
      <t>PVC-U DN100 -výtlak běžec. Kompletní provedení</t>
    </r>
  </si>
  <si>
    <r>
      <rPr>
        <b/>
        <sz val="10"/>
        <rFont val="Arial"/>
        <family val="2"/>
        <charset val="238"/>
      </rPr>
      <t>Potrubí</t>
    </r>
    <r>
      <rPr>
        <sz val="10"/>
        <rFont val="Arial"/>
        <family val="2"/>
        <charset val="238"/>
      </rPr>
      <t xml:space="preserve"> pro odvod/přívod výdechu DN 150, 
výměra: 4,44+6,685+1,50+4,60+0,90+
4,35+1,60+0,75+2,00+1,40</t>
    </r>
  </si>
  <si>
    <t>Podrobnosti viz. níže</t>
  </si>
  <si>
    <r>
      <rPr>
        <b/>
        <sz val="10"/>
        <rFont val="Arial"/>
        <family val="2"/>
        <charset val="238"/>
      </rPr>
      <t>Prostup</t>
    </r>
    <r>
      <rPr>
        <sz val="10"/>
        <rFont val="Arial"/>
        <family val="2"/>
        <charset val="238"/>
      </rPr>
      <t xml:space="preserve"> pro kanalizaci DN 150, dl. 450mm, 6ks, prostup včetně otvoru a chráničky. Kompletní provedení</t>
    </r>
  </si>
  <si>
    <t>72711/R</t>
  </si>
  <si>
    <t>72711/R1</t>
  </si>
  <si>
    <t>Revizní šachta, prefabrikovaná plastová šachta Ø425mm s litinovým zadlažďovacím  poklopem B125, včetně zadláždění</t>
  </si>
  <si>
    <t>93593/P</t>
  </si>
  <si>
    <t>72121/R1001</t>
  </si>
  <si>
    <t>Dvorní vpust - DV1, s lapačem nečistot (košem) a zpětnou klapkou, litinový rošt</t>
  </si>
  <si>
    <t>45153/R8123</t>
  </si>
  <si>
    <t xml:space="preserve">Vodní zápachový uzávěr </t>
  </si>
  <si>
    <r>
      <t xml:space="preserve">Zemní práce, </t>
    </r>
    <r>
      <rPr>
        <sz val="11"/>
        <rFont val="Arial"/>
        <family val="2"/>
        <charset val="238"/>
      </rPr>
      <t>výkopy, zásypy, hutnění</t>
    </r>
    <r>
      <rPr>
        <b/>
        <sz val="11"/>
        <rFont val="Arial"/>
        <family val="2"/>
        <charset val="238"/>
      </rPr>
      <t xml:space="preserve"> pro akumulační jímku</t>
    </r>
  </si>
  <si>
    <r>
      <t xml:space="preserve">Odstranění podkladu </t>
    </r>
    <r>
      <rPr>
        <sz val="10"/>
        <rFont val="Arial"/>
        <family val="2"/>
        <charset val="238"/>
      </rPr>
      <t>z kameniva drceného 
tl 500 mm ručně k dalšímu použití</t>
    </r>
    <r>
      <rPr>
        <b/>
        <sz val="10"/>
        <rFont val="Arial"/>
        <family val="2"/>
        <charset val="238"/>
      </rPr>
      <t xml:space="preserve">
</t>
    </r>
    <r>
      <rPr>
        <sz val="10"/>
        <rFont val="Arial"/>
        <family val="2"/>
        <charset val="238"/>
      </rPr>
      <t>výměra : (12,25*1,5)=19m2</t>
    </r>
  </si>
  <si>
    <t>271562211/P</t>
  </si>
  <si>
    <r>
      <rPr>
        <b/>
        <sz val="10"/>
        <rFont val="Arial"/>
        <family val="2"/>
        <charset val="238"/>
      </rPr>
      <t>Odstranění vegetace</t>
    </r>
    <r>
      <rPr>
        <sz val="10"/>
        <rFont val="Arial"/>
        <family val="2"/>
        <charset val="238"/>
      </rPr>
      <t>, mulčovací kůry a  ornice a uvedení do původního stavu záhonu s vegetací u rybníka, výměra: 4,0*1,0bm</t>
    </r>
  </si>
  <si>
    <r>
      <t>Nesamonosná nádrž z integrovaného polypropylénu PP nádrž, podzemní, hranatá, k obetonování (2,5/6,16/2,16m; užitný objem 22,32m3), uložená na podkladní betonové desce vyztužené sítí (Ø 6, oka150/150), obetonovaná a opatřená poklopy pro zadláždění venkovní dlažbou 600/600 mm (ČSN 136305). Strop nádrže musí být neprodyšný a musí být nejméně 300 mm nad výpočtovou hladinou vody v nádrži, armování žlb konstrukce bude specifikováno v RDS</t>
    </r>
    <r>
      <rPr>
        <b/>
        <sz val="10"/>
        <rFont val="Arial"/>
        <family val="2"/>
        <charset val="238"/>
      </rPr>
      <t xml:space="preserve">, </t>
    </r>
    <r>
      <rPr>
        <b/>
        <sz val="11"/>
        <rFont val="Arial"/>
        <family val="2"/>
        <charset val="238"/>
      </rPr>
      <t>v.č. D.1.03.07</t>
    </r>
  </si>
  <si>
    <r>
      <rPr>
        <b/>
        <sz val="10"/>
        <rFont val="Arial"/>
        <family val="2"/>
        <charset val="238"/>
      </rPr>
      <t>Žebřík</t>
    </r>
    <r>
      <rPr>
        <sz val="10"/>
        <rFont val="Arial"/>
        <family val="2"/>
        <charset val="238"/>
      </rPr>
      <t xml:space="preserve"> z nerezové oceli ,dl. cca 2560mm dodávka+montáž na stěnu</t>
    </r>
  </si>
  <si>
    <r>
      <rPr>
        <b/>
        <sz val="10"/>
        <rFont val="Arial"/>
        <family val="2"/>
        <charset val="238"/>
      </rPr>
      <t>obsyp zhutněným</t>
    </r>
    <r>
      <rPr>
        <sz val="10"/>
        <rFont val="Arial"/>
        <family val="2"/>
        <charset val="238"/>
      </rPr>
      <t xml:space="preserve"> štěrkopískem, výměra: (2,16+0,50+0,20)*(2,50+0,20*2+0,38*2+6,16+
0,20*2)*0,38</t>
    </r>
  </si>
  <si>
    <r>
      <rPr>
        <b/>
        <sz val="10"/>
        <rFont val="Arial"/>
        <family val="2"/>
        <charset val="238"/>
      </rPr>
      <t xml:space="preserve">Obetonování polypropylenové </t>
    </r>
    <r>
      <rPr>
        <sz val="10"/>
        <rFont val="Arial"/>
        <family val="2"/>
        <charset val="238"/>
      </rPr>
      <t>PP nádrže, C25/30 tl.200mm, (vyztuženo viz níže), výměra: 0,20*stěny(2,50bm+6,16bm+0,20*2bm)  *2*2,16bm+podlaha ((2,50+0,20*2)*6,56)+hrdla šachet (0,76+0,76+0,20*2)*2*0,5bm*2ks)</t>
    </r>
  </si>
  <si>
    <t xml:space="preserve">Poklop dodávka Ø600mm, únosnost  cca D400  + montáž +  zadláždení </t>
  </si>
  <si>
    <r>
      <rPr>
        <b/>
        <sz val="10"/>
        <rFont val="Arial"/>
        <family val="2"/>
        <charset val="238"/>
      </rPr>
      <t>Poklopy pro zadláždění</t>
    </r>
    <r>
      <rPr>
        <sz val="10"/>
        <rFont val="Arial"/>
        <family val="2"/>
        <charset val="238"/>
      </rPr>
      <t xml:space="preserve"> venkovní dlažbou 600/600 mm (ČSN 136305), únosnost cca D400, včetně zadláždění, kompletní provedení Dodávka včetně rámu +osazení+zadláždění, kompletní provedení.</t>
    </r>
  </si>
  <si>
    <r>
      <rPr>
        <b/>
        <sz val="10"/>
        <rFont val="Arial"/>
        <family val="2"/>
        <charset val="238"/>
      </rPr>
      <t>Poklop</t>
    </r>
    <r>
      <rPr>
        <sz val="10"/>
        <rFont val="Arial"/>
        <family val="2"/>
        <charset val="238"/>
      </rPr>
      <t xml:space="preserve"> pro šachtu Ø 425 zadlažďovací, včetně osazovacího rámu, cca poklop- B 125, dodávka+montáž ; Kompletní provedení</t>
    </r>
  </si>
  <si>
    <r>
      <rPr>
        <b/>
        <sz val="10"/>
        <rFont val="Arial"/>
        <family val="2"/>
        <charset val="238"/>
      </rPr>
      <t>Poklop</t>
    </r>
    <r>
      <rPr>
        <sz val="10"/>
        <rFont val="Arial"/>
        <family val="2"/>
        <charset val="238"/>
      </rPr>
      <t xml:space="preserve"> pro šachtu vel. 900/900mm zadlažďovací, včetně osazovacího rámu, únosnost cca D400,  dodávka+montáž ; Kompletní provedení</t>
    </r>
  </si>
  <si>
    <t>56493/R2111</t>
  </si>
  <si>
    <t>Kontrola vodotěsnosti</t>
  </si>
  <si>
    <t>564932111/P</t>
  </si>
  <si>
    <t>Zřízení + odstranění vzepření stěn při pažení příložném hl do 4</t>
  </si>
  <si>
    <t>Signalizační vodič 1x Cu 4mm2, který musí být připevněn navrch potrubí, výměra: 8,03+58,84+39,70+2,05+11,35+30,50bm</t>
  </si>
  <si>
    <r>
      <rPr>
        <b/>
        <sz val="10"/>
        <rFont val="Arial"/>
        <family val="2"/>
        <charset val="238"/>
      </rPr>
      <t>Očištění </t>
    </r>
    <r>
      <rPr>
        <sz val="10"/>
        <rFont val="Arial"/>
        <family val="2"/>
        <charset val="238"/>
      </rPr>
      <t>vybouraných obrubníků chodníkových od spojovacího materiálu</t>
    </r>
  </si>
  <si>
    <r>
      <t xml:space="preserve">Vodorovné </t>
    </r>
    <r>
      <rPr>
        <sz val="10"/>
        <rFont val="Arial"/>
        <family val="2"/>
        <charset val="238"/>
      </rPr>
      <t xml:space="preserve">přemístění betonových obrub do 200m, se složením, na mezideponii ke zpětnému použití tam a zpět </t>
    </r>
    <r>
      <rPr>
        <b/>
        <sz val="10"/>
        <rFont val="Arial"/>
        <family val="2"/>
        <charset val="238"/>
      </rPr>
      <t xml:space="preserve"> ; </t>
    </r>
  </si>
  <si>
    <r>
      <t xml:space="preserve">Vytrhání obrub  silničních ležatých </t>
    </r>
    <r>
      <rPr>
        <sz val="10"/>
        <rFont val="Arial"/>
        <family val="2"/>
        <charset val="238"/>
      </rPr>
      <t>včetně lože a naložení na dopravní prostředek na mezideponii
(k dalšímu použití) (2,0+4,0+2,00+1,00*2+2,00)</t>
    </r>
  </si>
  <si>
    <t>Kladení zámkové dlažby pozemních komunikací tl 80 mm skupiny A pl do 50 m2</t>
  </si>
  <si>
    <t>Podklad ze směsi stmelené cementem SC C 8/10 (KSC I) tl 150 mm</t>
  </si>
  <si>
    <t>Podklad ze štěrkodrtě ŠD tl 200 mm</t>
  </si>
  <si>
    <r>
      <t xml:space="preserve">Rozebrání dlažeb ze zámkových </t>
    </r>
    <r>
      <rPr>
        <sz val="10"/>
        <rFont val="Arial"/>
        <family val="2"/>
        <charset val="238"/>
      </rPr>
      <t>betonových dlaždic  vozovek  ručně včetně lože a naložení na dopravní  prostředek (k dalšímu použití)</t>
    </r>
    <r>
      <rPr>
        <b/>
        <sz val="10"/>
        <rFont val="Arial"/>
        <family val="2"/>
        <charset val="238"/>
      </rPr>
      <t xml:space="preserve"> ; 
</t>
    </r>
    <r>
      <rPr>
        <sz val="10"/>
        <rFont val="Arial"/>
        <family val="2"/>
        <charset val="238"/>
      </rPr>
      <t>Výměra : (7,25+17,15+19,80)*0,80</t>
    </r>
  </si>
  <si>
    <r>
      <t xml:space="preserve">Vodorovné přemístění betonových </t>
    </r>
    <r>
      <rPr>
        <sz val="10"/>
        <rFont val="Arial"/>
        <family val="2"/>
        <charset val="238"/>
      </rPr>
      <t>dlaždic 
do 200m, se složením, (na meziskládku a zpět k montáži)</t>
    </r>
  </si>
  <si>
    <r>
      <t xml:space="preserve">Odstranění podkladu </t>
    </r>
    <r>
      <rPr>
        <sz val="10"/>
        <rFont val="Arial"/>
        <family val="2"/>
        <charset val="238"/>
      </rPr>
      <t>z kameniva drceného 
tl 500 mm ručně k dalšímu použití</t>
    </r>
    <r>
      <rPr>
        <b/>
        <sz val="10"/>
        <rFont val="Arial"/>
        <family val="2"/>
        <charset val="238"/>
      </rPr>
      <t xml:space="preserve">
</t>
    </r>
  </si>
  <si>
    <t>přesun hmot</t>
  </si>
  <si>
    <t>Realizační dokumentace</t>
  </si>
  <si>
    <t>Před realizací podzemního vedení pod  ul. Mladých Běchovic, je nutno rozhodnout za účasti investora, správce komunikace, hlavního architekta a  projektanta elektro a rozhodnout o způsobu provádění protlaku.</t>
  </si>
  <si>
    <t>Před realizací podzemního vedení pod  ul. Mladých Běchovic, je nutno přizvat investora, správce komunikace, hlavního architekta,  projektanta elektro a rozhodnout o způsobu provádění protlaku.</t>
  </si>
  <si>
    <t>Řízené horizontální vrtání při elektromontážích v hornině tř I a II skupiny 1 až 4 vnějšího průměru do 225 mm</t>
  </si>
  <si>
    <t>Cena a Práce spojené s protlakem budou upřesněny dle postupu provádění viz Realizační Dokumentace Stavby.</t>
  </si>
  <si>
    <t>Doprava a práce spojená s vrtací technikou a obsluhou.</t>
  </si>
  <si>
    <r>
      <rPr>
        <b/>
        <sz val="11"/>
        <rFont val="Arial"/>
        <family val="2"/>
        <charset val="238"/>
      </rPr>
      <t>Montáž</t>
    </r>
    <r>
      <rPr>
        <sz val="11"/>
        <rFont val="Arial"/>
        <family val="2"/>
        <charset val="238"/>
      </rPr>
      <t xml:space="preserve"> zemnícího pásku FeZn 30/4</t>
    </r>
  </si>
  <si>
    <t>Dokumentace skutečného provedení stavby</t>
  </si>
  <si>
    <r>
      <rPr>
        <b/>
        <sz val="10"/>
        <rFont val="Arial"/>
        <family val="2"/>
        <charset val="238"/>
      </rPr>
      <t>Hloubení</t>
    </r>
    <r>
      <rPr>
        <sz val="10"/>
        <rFont val="Arial"/>
        <family val="2"/>
        <charset val="238"/>
      </rPr>
      <t xml:space="preserve"> rýh nezapažených kabelových ručně, včetně urovnání dna, s ponecháním výkopku 3m od okraje jámy,  š. 500mm, hl. 500mm v hornině tř.3,;</t>
    </r>
  </si>
  <si>
    <t>Kabelové lože z písku pro kabely nn zakryté cihlami š lože do 60 cm</t>
  </si>
  <si>
    <r>
      <rPr>
        <b/>
        <sz val="10"/>
        <rFont val="Arial"/>
        <family val="2"/>
        <charset val="238"/>
      </rPr>
      <t xml:space="preserve">Montáž </t>
    </r>
    <r>
      <rPr>
        <sz val="10"/>
        <rFont val="Arial"/>
        <family val="2"/>
        <charset val="238"/>
      </rPr>
      <t>trubek ochranných uložených volně do rýhy ohebných, vnitřního průměru 110mm + konce chráničky zapěnit ; výměry 630bm</t>
    </r>
  </si>
  <si>
    <r>
      <rPr>
        <b/>
        <sz val="10"/>
        <rFont val="Arial"/>
        <family val="2"/>
        <charset val="238"/>
      </rPr>
      <t>Zásyp</t>
    </r>
    <r>
      <rPr>
        <sz val="10"/>
        <rFont val="Arial"/>
        <family val="2"/>
        <charset val="238"/>
      </rPr>
      <t xml:space="preserve"> kabelových rýh ručně včetně zhutnění a uložení výkopku do vrstev a urovnání povrchu š. 500mm hloubky 500mm v hornině tř. 3 (použít výkopový- nový násypový materiál - z výkopu)</t>
    </r>
  </si>
  <si>
    <r>
      <rPr>
        <b/>
        <sz val="11"/>
        <rFont val="Arial"/>
        <family val="2"/>
        <charset val="238"/>
      </rPr>
      <t>Montáž</t>
    </r>
    <r>
      <rPr>
        <sz val="11"/>
        <rFont val="Arial"/>
        <family val="2"/>
        <charset val="238"/>
      </rPr>
      <t xml:space="preserve"> + dodávka , zemnícího pásku FeZn Ø10mm</t>
    </r>
  </si>
  <si>
    <t>Vytrhání obrub silničních ležatých včetně lože a naložení na dopravní prostředek 
(k dalšímu použití)</t>
  </si>
  <si>
    <t>Demontáž  betonových obrub , výměra: Chodníck za poštovskou zahradou, podél Mladých Běch., ul. u rybníka 168,bm +  ukončení mozaiky2,5+2+vedle Staré Pošty 24bm</t>
  </si>
  <si>
    <t>výměra : u park. míst Za Poštovskou zahradou 55,15bm+ 51,55bm+u silnice 41,02bm+ulice u rybníka (parkování)25bm+silnice 33bm</t>
  </si>
  <si>
    <r>
      <rPr>
        <b/>
        <sz val="10"/>
        <rFont val="Arial"/>
        <family val="2"/>
        <charset val="238"/>
      </rPr>
      <t>Hloubení</t>
    </r>
    <r>
      <rPr>
        <sz val="10"/>
        <rFont val="Arial"/>
        <family val="2"/>
        <charset val="238"/>
      </rPr>
      <t xml:space="preserve"> rýh nezapažených kabelových ručně,včetně urovnání dna, s ponecháním výkopku 3m od okraje jámy,
 š. 500mm, hl.1200mm v hornině3</t>
    </r>
  </si>
  <si>
    <r>
      <rPr>
        <b/>
        <sz val="10"/>
        <rFont val="Arial"/>
        <family val="2"/>
        <charset val="238"/>
      </rPr>
      <t>Pažení výkopu rý</t>
    </r>
    <r>
      <rPr>
        <sz val="10"/>
        <rFont val="Arial"/>
        <family val="2"/>
        <charset val="238"/>
      </rPr>
      <t>h příložné plné, do 2m; 15,0*1,20*2</t>
    </r>
  </si>
  <si>
    <r>
      <rPr>
        <b/>
        <sz val="10"/>
        <rFont val="Arial"/>
        <family val="2"/>
        <charset val="238"/>
      </rPr>
      <t xml:space="preserve">Dtto, </t>
    </r>
    <r>
      <rPr>
        <sz val="10"/>
        <rFont val="Arial"/>
        <family val="2"/>
        <charset val="238"/>
      </rPr>
      <t>odstranění</t>
    </r>
  </si>
  <si>
    <r>
      <rPr>
        <b/>
        <sz val="10"/>
        <rFont val="Arial"/>
        <family val="2"/>
        <charset val="238"/>
      </rPr>
      <t>Rozepření</t>
    </r>
    <r>
      <rPr>
        <sz val="10"/>
        <rFont val="Arial"/>
        <family val="2"/>
        <charset val="238"/>
      </rPr>
      <t xml:space="preserve"> stěn rýh ; 15,0*0,50*1,20</t>
    </r>
  </si>
  <si>
    <r>
      <rPr>
        <b/>
        <sz val="10"/>
        <rFont val="Arial"/>
        <family val="2"/>
        <charset val="238"/>
      </rPr>
      <t>Betonová</t>
    </r>
    <r>
      <rPr>
        <sz val="10"/>
        <rFont val="Arial"/>
        <family val="2"/>
        <charset val="238"/>
      </rPr>
      <t xml:space="preserve"> stabilizace tl. 200mm-shodná jako  ve stávající komunikaci a kolem vedení kabelů ; 15,0*0,20*2*0,50</t>
    </r>
  </si>
  <si>
    <r>
      <rPr>
        <b/>
        <sz val="10"/>
        <rFont val="Arial"/>
        <family val="2"/>
        <charset val="238"/>
      </rPr>
      <t xml:space="preserve">Montáž </t>
    </r>
    <r>
      <rPr>
        <sz val="10"/>
        <rFont val="Arial"/>
        <family val="2"/>
        <charset val="238"/>
      </rPr>
      <t>trubek ochranných uložených volně do rýhy ohebných, vnitřního průměru 110mm + konce chráničky 
zapěnit</t>
    </r>
  </si>
  <si>
    <r>
      <rPr>
        <b/>
        <sz val="10"/>
        <rFont val="Arial"/>
        <family val="2"/>
        <charset val="238"/>
      </rPr>
      <t>Zásyp</t>
    </r>
    <r>
      <rPr>
        <sz val="10"/>
        <rFont val="Arial"/>
        <family val="2"/>
        <charset val="238"/>
      </rPr>
      <t xml:space="preserve"> kabelových rýh ručně včetně zhutnění po vrstvách a uložení výkopku do vrstev a urovnání povrchu š. 500mm hloubky 500mm v hornině tř. 3</t>
    </r>
  </si>
  <si>
    <r>
      <rPr>
        <b/>
        <sz val="10"/>
        <rFont val="Arial"/>
        <family val="2"/>
        <charset val="238"/>
      </rPr>
      <t>Přemístění (odvoz) horniny, případně suti a vybouraných hmot, vodorovné přemístění horniny včetně složení, jakékoliv třídy, při elektromontážích do 1000mna mezideponii a zpět na zásyp;</t>
    </r>
    <r>
      <rPr>
        <sz val="10"/>
        <rFont val="Arial"/>
        <family val="2"/>
        <charset val="238"/>
      </rPr>
      <t xml:space="preserve"> 
výměra 15,0*0,50*0,70*2</t>
    </r>
  </si>
  <si>
    <r>
      <rPr>
        <b/>
        <sz val="10"/>
        <rFont val="Arial"/>
        <family val="2"/>
        <charset val="238"/>
      </rPr>
      <t xml:space="preserve">Zpětná úprava </t>
    </r>
    <r>
      <rPr>
        <sz val="10"/>
        <rFont val="Arial"/>
        <family val="2"/>
        <charset val="238"/>
      </rPr>
      <t>stávajícího povrchu-podkladní vrstva tl. do 250 mm s dodáním hmot, s jejich rozprostřením a zhutněním a s urovnáním horní plochy ze štěrkodrti, po zhutnění tl. 250 mm (jen v místě rýhy)</t>
    </r>
    <r>
      <rPr>
        <b/>
        <sz val="10"/>
        <rFont val="Arial"/>
        <family val="2"/>
        <charset val="238"/>
      </rPr>
      <t xml:space="preserve"> </t>
    </r>
    <r>
      <rPr>
        <sz val="10"/>
        <rFont val="Arial"/>
        <family val="2"/>
        <charset val="238"/>
      </rPr>
      <t xml:space="preserve"> ; výměra 0,50*15,0bm</t>
    </r>
  </si>
  <si>
    <r>
      <t xml:space="preserve">Dodávka </t>
    </r>
    <r>
      <rPr>
        <sz val="10"/>
        <rFont val="Arial"/>
        <family val="2"/>
        <charset val="238"/>
      </rPr>
      <t>a osazení - chráničky z novoduru nebo jiného vhodného materiálu osadit do základu pro el. sloupek  včetně vodotěsného utěsnění oboustranně , dl.cca 0,70bm ; 65ks</t>
    </r>
  </si>
  <si>
    <t xml:space="preserve">Sestava obloukových laviček na centrální noze, bez opěradla, poloměr oblouku cca 2000 mm, výseč jedné lavičky 45 stupňů. charakter konstrukce: ocelová konstrukce spojená s dřevěnými deskami pomocí šroubových spojů z nerezu. povrchová úprava: ocelová konstrukce bočnic je opatřena ochrannou vrstvou zinku a práškovým vypalovacím lakem ral 7016 antracitová šedá matná. každý segment lavičky má ocelovou konstrukci s šestnácti deskami z masivního dřeva lichoběžníkového tvaru obdélníkového průřezu délky 500 mm, tropické dřevo. skryté kotvení každé nohy do betonového základu 400x400x400 mm pomocí závitových tyčí 4x M12x165, průměr vrtání 14 mm, délka vrtání cca 130 mm, na jeden kruh celkem 8 betonových základů, beton C12/15, cca 0,064 m3, po výběru konkrétního výrobku lavičky bude v rámci dokumentace RDS dořešen detail návaznosti lavičky 
na kamenný obrubník a dlažbu, kompletní provedení.
</t>
  </si>
  <si>
    <t>&gt;&gt;  skryté sloupce  &lt;&lt;</t>
  </si>
  <si>
    <t>{58721ed3-a99d-43ac-9e57-2d6cc8a8f2b0}</t>
  </si>
  <si>
    <t>DREN</t>
  </si>
  <si>
    <t>Drenáž DN 150</t>
  </si>
  <si>
    <t>184,91</t>
  </si>
  <si>
    <t>SKL_4_PS_Veg</t>
  </si>
  <si>
    <t>Parkovací stání (skladba 4) z polovegetační bet. dlažby</t>
  </si>
  <si>
    <t>88</t>
  </si>
  <si>
    <t>KRYCÍ LIST SOUPISU PRACÍ</t>
  </si>
  <si>
    <t>v ---  níže se nacházejí doplnkové a pomocné údaje k sestavám  --- v</t>
  </si>
  <si>
    <t>False</t>
  </si>
  <si>
    <t>SKL_4A_PS_Kdl</t>
  </si>
  <si>
    <t>Parkovací stání (skladba 4A) z kamenné dlažby 100x100x100 mm (kroužková)</t>
  </si>
  <si>
    <t>19,25</t>
  </si>
  <si>
    <t>SKL_4_PS_Bdl</t>
  </si>
  <si>
    <t>Parkovací stání (skladba 4) z betonové dlažby (kost)</t>
  </si>
  <si>
    <t>33,275</t>
  </si>
  <si>
    <t>Stavba:</t>
  </si>
  <si>
    <t>SKL_3_DB</t>
  </si>
  <si>
    <t>Komunikace (skladba 3) z betonové dlažby</t>
  </si>
  <si>
    <t>24,75</t>
  </si>
  <si>
    <t>SKL_3_BD_P</t>
  </si>
  <si>
    <t>Komunikace (skladba 3) z betonové dlažby - předláždění</t>
  </si>
  <si>
    <t>63,62</t>
  </si>
  <si>
    <t>Objekt:</t>
  </si>
  <si>
    <t>SKL_2_Kdl</t>
  </si>
  <si>
    <t>Komunikace (skladba 2) z kamenné velkoformátové dlažby 150x150-300 mm tl. 120 mm</t>
  </si>
  <si>
    <t>368,67</t>
  </si>
  <si>
    <t>SO 101 - Komunikace a zpevněné plochy</t>
  </si>
  <si>
    <t>SKL_1_Asf_F</t>
  </si>
  <si>
    <t>Komunikace (skladba 1) asfaltová fréza</t>
  </si>
  <si>
    <t>85,13</t>
  </si>
  <si>
    <t>SKL_1_Asf</t>
  </si>
  <si>
    <t>Komunikace (skladba 1 ) asfaltová plná skladba</t>
  </si>
  <si>
    <t>33,49</t>
  </si>
  <si>
    <t>KSO:</t>
  </si>
  <si>
    <t/>
  </si>
  <si>
    <t>CC-CZ:</t>
  </si>
  <si>
    <t>SKL_5</t>
  </si>
  <si>
    <t>Chodník (skladba 5) z kamenné velkoformátové dlažby 150x150-300 mm tl. 120 mm</t>
  </si>
  <si>
    <t>1088,2</t>
  </si>
  <si>
    <t>Místo:</t>
  </si>
  <si>
    <t>Běchovice, k.ú. 601527</t>
  </si>
  <si>
    <t>Datum:</t>
  </si>
  <si>
    <t>SKL_5A</t>
  </si>
  <si>
    <t>Chodník (skladba 5a) z kamenné velkoformátové dlažby 150x150-300 mm tl. 80 mm</t>
  </si>
  <si>
    <t>439,13</t>
  </si>
  <si>
    <t>SKL_5_část</t>
  </si>
  <si>
    <t>Chodník (skladba 5 - částečná) z kamenné velkoformátové dlažby 150x150-300 mm tl. 120 mm</t>
  </si>
  <si>
    <t>22,67</t>
  </si>
  <si>
    <t>Zadavatel:</t>
  </si>
  <si>
    <t>IČ:</t>
  </si>
  <si>
    <t>SKL_5_šach</t>
  </si>
  <si>
    <t xml:space="preserve">Šachovnice (skladba 5) z kamenné velkoformátové dlažby 500x500x120 mm </t>
  </si>
  <si>
    <t>10,24</t>
  </si>
  <si>
    <t>Městská část Praha - Běchovice</t>
  </si>
  <si>
    <t>DIČ:</t>
  </si>
  <si>
    <t>SKL_6</t>
  </si>
  <si>
    <t>Chodník (skladba 6) parteru z kamenné dlažby - mozaika 60x60 mm</t>
  </si>
  <si>
    <t>411,88</t>
  </si>
  <si>
    <t>SKL_6_1</t>
  </si>
  <si>
    <t>Chodník (skladba 6) stáv. chodník z kamenné dlažby - mozaika 60x60 mm</t>
  </si>
  <si>
    <t>33,23</t>
  </si>
  <si>
    <t>Zhotovitel:</t>
  </si>
  <si>
    <t>SKL_7</t>
  </si>
  <si>
    <t>Chodník (skladba 7 - částečná konstrukce) z kamenné dlažby - mozaika 60x60 mm</t>
  </si>
  <si>
    <t>22,34</t>
  </si>
  <si>
    <t>SKL_7_P</t>
  </si>
  <si>
    <t>Chodník (skladba 7 - částečná konstrukce) - předláždění</t>
  </si>
  <si>
    <t>38,36</t>
  </si>
  <si>
    <t>SKL_8</t>
  </si>
  <si>
    <t>Chodník (skladba 8) z betonové dlažby tl. 60 mm</t>
  </si>
  <si>
    <t>30,16</t>
  </si>
  <si>
    <t>Projektant:</t>
  </si>
  <si>
    <t>SKL_8_P</t>
  </si>
  <si>
    <t>Chodník (skladba 8 - částečná konstrukce) z betonové dlažby tl. 60 mm - předláždění</t>
  </si>
  <si>
    <t>8,88</t>
  </si>
  <si>
    <t>DOPAS s.r.o.</t>
  </si>
  <si>
    <t>SKL_9</t>
  </si>
  <si>
    <t>Kamenné odseky (skladba 9) - plná skladba</t>
  </si>
  <si>
    <t>149,35</t>
  </si>
  <si>
    <t>SKL_9_1</t>
  </si>
  <si>
    <t>Kamenné odseky (skladba 9) - částečná skladba</t>
  </si>
  <si>
    <t>2,92</t>
  </si>
  <si>
    <t>Zpracovatel:</t>
  </si>
  <si>
    <t>62196243</t>
  </si>
  <si>
    <t>SKL_10</t>
  </si>
  <si>
    <t>Běžecký pás (skladba 10) - SMARTSOFT (mimo nášlapnou vrstvu)</t>
  </si>
  <si>
    <t>39,49</t>
  </si>
  <si>
    <t>L. Štuller</t>
  </si>
  <si>
    <t>SKL_10A</t>
  </si>
  <si>
    <t>Hřiště a doj.plochy (skladba 10A) - SMARTSOFT (mimo nášlapné vrstvy)</t>
  </si>
  <si>
    <t>21,36</t>
  </si>
  <si>
    <t>SKL_11</t>
  </si>
  <si>
    <t>Chodník (skladba 11) z lomového plochého kamene</t>
  </si>
  <si>
    <t>8,18</t>
  </si>
  <si>
    <t>Poznámka:</t>
  </si>
  <si>
    <t>SKL_2_Hmat</t>
  </si>
  <si>
    <t>Komunikace - hmatná dlažba (skladba 2)</t>
  </si>
  <si>
    <t>10,43</t>
  </si>
  <si>
    <t>Soupis prací je sestaven s využitím Cenové soustavy ÚRS. Položky, které pochází z této cenové soustavy, jsou ve sloupci 'Cenová soustava' označeny popisem 'CS ÚRS' a úrovní příslušného kalendářního pololetí. Veškeré další informace vymezující popis a podmínky použití těchto položek z Cenové soustavy, které nejsou uvedeny přímo v soupisu prací, jsou neomezeně dálkově k dispozici na webu www.podminky.urs.cz.</t>
  </si>
  <si>
    <t>SKL_2_UměVL</t>
  </si>
  <si>
    <t>Komunikace (skladba 2) - umělá vodící linie</t>
  </si>
  <si>
    <t>2,45</t>
  </si>
  <si>
    <t>SKL_5_Hmat</t>
  </si>
  <si>
    <t>Chodník - hmatná dlažba (skladba 5)</t>
  </si>
  <si>
    <t>1,33</t>
  </si>
  <si>
    <t>SKL_5A_Hmat</t>
  </si>
  <si>
    <t>Chodník (skladba 5A) - hmatná dlažba umělý kámen</t>
  </si>
  <si>
    <t>10,59</t>
  </si>
  <si>
    <t>Cena bez DPH</t>
  </si>
  <si>
    <t>SKL_5_ZTP</t>
  </si>
  <si>
    <t>Chodník (skladba 5) - hmatná betonová dlažba</t>
  </si>
  <si>
    <t>1,03</t>
  </si>
  <si>
    <t>SKL_5A_ZTP</t>
  </si>
  <si>
    <t>Chodník (skladba 5A) - hmatná betonová dlažba</t>
  </si>
  <si>
    <t>6,39</t>
  </si>
  <si>
    <t>Základ daně</t>
  </si>
  <si>
    <t>Sazba daně</t>
  </si>
  <si>
    <t>Výše daně</t>
  </si>
  <si>
    <t>SKL_6_Hmat</t>
  </si>
  <si>
    <t>Chodník (skladba 6) - hmatná dlažba umělý kámen</t>
  </si>
  <si>
    <t>19,7</t>
  </si>
  <si>
    <t>DPH</t>
  </si>
  <si>
    <t>základní</t>
  </si>
  <si>
    <t>SKL_6_ZTP</t>
  </si>
  <si>
    <t>Chodník (skladba 6) - hmatná betonová dlažba</t>
  </si>
  <si>
    <t>11,82</t>
  </si>
  <si>
    <t>snížená</t>
  </si>
  <si>
    <t>SKL_8_ZTP</t>
  </si>
  <si>
    <t>Chodník (skladba 8) - hmatná betonová dlažba</t>
  </si>
  <si>
    <t>8,14</t>
  </si>
  <si>
    <t>zákl. přenesená</t>
  </si>
  <si>
    <t>sníž. přenesená</t>
  </si>
  <si>
    <t>nulová</t>
  </si>
  <si>
    <t>Cena s DPH</t>
  </si>
  <si>
    <t>v</t>
  </si>
  <si>
    <t>CZK</t>
  </si>
  <si>
    <t>REKAPITULACE ČLENĚNÍ SOUPISU PRACÍ</t>
  </si>
  <si>
    <t>Kód dílu - Popis</t>
  </si>
  <si>
    <t>Cena celkem [CZK]</t>
  </si>
  <si>
    <t>Náklady stavby celkem</t>
  </si>
  <si>
    <t>-1</t>
  </si>
  <si>
    <t>HSV - Práce a dodávky HSV</t>
  </si>
  <si>
    <t xml:space="preserve">    1 - Zemní práce</t>
  </si>
  <si>
    <t xml:space="preserve">    2 - Zakládání</t>
  </si>
  <si>
    <t xml:space="preserve">    3 - Svislé a kompletní konstrukce</t>
  </si>
  <si>
    <t xml:space="preserve">    4 - Vodorovné konstrukce</t>
  </si>
  <si>
    <t xml:space="preserve">    5 - Komunikace pozemní</t>
  </si>
  <si>
    <t xml:space="preserve">    6 - Úpravy povrchů, podlahy a osazování výplní</t>
  </si>
  <si>
    <t xml:space="preserve">    8 - Trubní vedení</t>
  </si>
  <si>
    <t xml:space="preserve">    9 - Ostatní konstrukce a práce, bourání</t>
  </si>
  <si>
    <t xml:space="preserve">    998 - Přesun hmot</t>
  </si>
  <si>
    <t>PSV - Práce a dodávky PSV</t>
  </si>
  <si>
    <t xml:space="preserve">    711 - Izolace proti vodě, vlhkosti a plynům</t>
  </si>
  <si>
    <t xml:space="preserve">    721 - Zdravotechnika - vnitřní kanalizace</t>
  </si>
  <si>
    <t>SOUPIS PRACÍ</t>
  </si>
  <si>
    <t>PČ</t>
  </si>
  <si>
    <t>Typ</t>
  </si>
  <si>
    <t>Kód</t>
  </si>
  <si>
    <t>Popis</t>
  </si>
  <si>
    <t>MJ</t>
  </si>
  <si>
    <t>Množství</t>
  </si>
  <si>
    <t>J.cena [CZK]</t>
  </si>
  <si>
    <t>Cenová soustava</t>
  </si>
  <si>
    <t>J. Nh [h]</t>
  </si>
  <si>
    <t>Nh celkem [h]</t>
  </si>
  <si>
    <t>J. hmotnost [t]</t>
  </si>
  <si>
    <t>Hmotnost celkem [t]</t>
  </si>
  <si>
    <t>J. suť [t]</t>
  </si>
  <si>
    <t>Suť Celkem [t]</t>
  </si>
  <si>
    <t>Náklady soupisu celkem</t>
  </si>
  <si>
    <t>HSV</t>
  </si>
  <si>
    <t>Práce a dodávky HSV</t>
  </si>
  <si>
    <t>ROZPOCET</t>
  </si>
  <si>
    <t>K</t>
  </si>
  <si>
    <t>174151103</t>
  </si>
  <si>
    <t>Zásyp sypaninou z jakékoliv horniny strojně s uložením výkopku ve vrstvách se zhutněním zářezů se šikmými stěnami pro podzemní vedení a kolem objektů zřízených v těchto zářezech</t>
  </si>
  <si>
    <t>-35528619</t>
  </si>
  <si>
    <t>VV</t>
  </si>
  <si>
    <t>SO_101_D.1_02_Situace.pdf</t>
  </si>
  <si>
    <t>True</t>
  </si>
  <si>
    <t>zásyp za obrubou</t>
  </si>
  <si>
    <t>((0,350*0,350)/2)*664</t>
  </si>
  <si>
    <t>Součet</t>
  </si>
  <si>
    <t>10364100</t>
  </si>
  <si>
    <t>zemina pro terénní úpravy - tříděná</t>
  </si>
  <si>
    <t>735270367</t>
  </si>
  <si>
    <t>40,67*1,75 'Přepočtené koeficientem množství</t>
  </si>
  <si>
    <t>181252305</t>
  </si>
  <si>
    <t>Úprava pláně na stavbách silnic a dálnic strojně na násypech se zhutněním</t>
  </si>
  <si>
    <t>-1313397796</t>
  </si>
  <si>
    <t>SO_101_D.1_01_Technická_zpráva.pdf</t>
  </si>
  <si>
    <t>Zakládání</t>
  </si>
  <si>
    <t>211531111</t>
  </si>
  <si>
    <t>Výplň kamenivem do rýh odvodňovacích žeber nebo trativodů bez zhutnění, s úpravou povrchu výplně kamenivem hrubým drceným frakce 16 až 63 mm</t>
  </si>
  <si>
    <t>1220808602</t>
  </si>
  <si>
    <t>SO_101_D.1_02_Sitace.pdf</t>
  </si>
  <si>
    <t>SO_101_D.1_03_Vzorové_příčné_řezy_1.pdf</t>
  </si>
  <si>
    <t>SO_101_D.1_04_Vzorové_příčné_řezy_2.pdf</t>
  </si>
  <si>
    <t>drenážní rýha š. 400 mm; min. hl. 400 mm; min. spád 1%</t>
  </si>
  <si>
    <t>dosyp drc. kamenivem nad objem kameniva započtený v položce 212752102</t>
  </si>
  <si>
    <t>37,410*(0,400*0,338)</t>
  </si>
  <si>
    <t>13,690*(0,400*0,220)</t>
  </si>
  <si>
    <t>52,580*(0,400*0,415)</t>
  </si>
  <si>
    <t>34,870*(0,400*0,325)</t>
  </si>
  <si>
    <t>12,430*(0,400*0,213)</t>
  </si>
  <si>
    <t>Mezisoučet " drenážní rýha</t>
  </si>
  <si>
    <t>211971121</t>
  </si>
  <si>
    <t>Zřízení opláštění výplně z geotextilie odvodňovacích žeber nebo trativodů v rýze nebo zářezu se stěnami svislými nebo šikmými o sklonu přes 1:2 při rozvinuté šířce opláštění do 2,5 m</t>
  </si>
  <si>
    <t>-171640288</t>
  </si>
  <si>
    <t>37,410*(0,400*2+0,588*2)</t>
  </si>
  <si>
    <t>13,690*(0,400*2+0,470*2)</t>
  </si>
  <si>
    <t>52,580*(0,400*2+0,665*2)</t>
  </si>
  <si>
    <t>34,870*(0,400*2+0,575*2)</t>
  </si>
  <si>
    <t>12,430*(0,400*2+0,463*2)</t>
  </si>
  <si>
    <t>69311069</t>
  </si>
  <si>
    <t>geotextilie netkaná separační, ochranná, filtrační, drenážní PP 350g/m2</t>
  </si>
  <si>
    <t>-327528951</t>
  </si>
  <si>
    <t>299,189*1,1845 'Přepočtené koeficientem množství</t>
  </si>
  <si>
    <t>212752102</t>
  </si>
  <si>
    <t>Trativody z drenážních trubek pro liniové stavby a komunikace se zřízením štěrkového lože pod trubky a s jejich obsypem v otevřeném výkopu trubka korugovaná sendvičová PE-HD SN 4 celoperforovaná 360° DN 150</t>
  </si>
  <si>
    <t>-442302015</t>
  </si>
  <si>
    <t>212972113</t>
  </si>
  <si>
    <t>Opláštění drenážních trub filtrační textilií DN 160</t>
  </si>
  <si>
    <t>-370720885</t>
  </si>
  <si>
    <t>VV viz. 212752102</t>
  </si>
  <si>
    <t>184,910 " opláštění roury drenážního potrubí</t>
  </si>
  <si>
    <t>Svislé a kompletní konstrukce</t>
  </si>
  <si>
    <t>339921111</t>
  </si>
  <si>
    <t>Osazování palisád betonových jednotlivých se zabetonováním výšky palisády do 500 mm</t>
  </si>
  <si>
    <t>kus</t>
  </si>
  <si>
    <t>-966544268</t>
  </si>
  <si>
    <t>SO_101_D.1_10_Schodiště_u_vodního_prvku_fontána.pdf</t>
  </si>
  <si>
    <t>1,000 " kamenná bočnice schod. stupňů 100x135x500 mm (atyp.)</t>
  </si>
  <si>
    <t>27,000 " kamenná bočnice schod. stupňů 100x165x500 mm</t>
  </si>
  <si>
    <t>SO_101_D.1_12_Schodiště_u_staré_pošty.pdf</t>
  </si>
  <si>
    <t>4,000+4,000 " kamenná bočnice schod. stupňů 100x200x500 mm</t>
  </si>
  <si>
    <t>4,000 " kamenná bočnice schod. stupňů 120x165x500 mm</t>
  </si>
  <si>
    <t>10</t>
  </si>
  <si>
    <t>58380.R01</t>
  </si>
  <si>
    <t>obrubník kamenný 100x135x500 mm</t>
  </si>
  <si>
    <t>bez CS</t>
  </si>
  <si>
    <t>2008121210</t>
  </si>
  <si>
    <t>1*1,02 'Přepočtené koeficientem množství</t>
  </si>
  <si>
    <t>11</t>
  </si>
  <si>
    <t>58380.R02</t>
  </si>
  <si>
    <t>obrubník kamenný 100x165x500 mm</t>
  </si>
  <si>
    <t>-1358497581</t>
  </si>
  <si>
    <t>27*1,02 'Přepočtené koeficientem množství</t>
  </si>
  <si>
    <t>58380.R03</t>
  </si>
  <si>
    <t>obrubník kamenný 100x200x500 mm</t>
  </si>
  <si>
    <t>792351906</t>
  </si>
  <si>
    <t>8*1,02 'Přepočtené koeficientem množství</t>
  </si>
  <si>
    <t>58380.R04</t>
  </si>
  <si>
    <t>obrubník kamenný 120x165x500 mm</t>
  </si>
  <si>
    <t>-779465086</t>
  </si>
  <si>
    <t>4*1,02 'Přepočtené koeficientem množství</t>
  </si>
  <si>
    <t>Vodorovné konstrukce</t>
  </si>
  <si>
    <t>14</t>
  </si>
  <si>
    <t>430321414</t>
  </si>
  <si>
    <t>Schodišťové konstrukce a rampy z betonu železového (bez výztuže) stupně, schodnice, ramena, podesty s nosníky tř. C 25/30</t>
  </si>
  <si>
    <t>373689300</t>
  </si>
  <si>
    <t>podkladní beton. deska schodišťových stupňů</t>
  </si>
  <si>
    <t>(0,360*0,100)*4,500*2</t>
  </si>
  <si>
    <t>((0,350*0,150)/2)*4,500*10</t>
  </si>
  <si>
    <t>(4,500*1,875*0,100)</t>
  </si>
  <si>
    <t>Mezisoučet " schodiště u fontány</t>
  </si>
  <si>
    <t>SO_101_D.1_11_Schodiště_západní_části_parteru.pdf</t>
  </si>
  <si>
    <t>0,360*0,100*3,220</t>
  </si>
  <si>
    <t>((0,350*0,150)/2)*103,380</t>
  </si>
  <si>
    <t>(0,380*0,100)*106,600</t>
  </si>
  <si>
    <t>Mezisoučet " schodiště západní části parteru</t>
  </si>
  <si>
    <t>0,360*0,100*13,670</t>
  </si>
  <si>
    <t>((0,350*0,150)/2)*29,340</t>
  </si>
  <si>
    <t>(0,380*0,100)*43,010</t>
  </si>
  <si>
    <t>Mezisoučet " schodiště U staré pošty</t>
  </si>
  <si>
    <t>(2,349+6,881+2,896)*5/100 " přípočet 5% na opěry</t>
  </si>
  <si>
    <t>15</t>
  </si>
  <si>
    <t>431351121</t>
  </si>
  <si>
    <t>Bednění podest, podstupňových desek a ramp včetně podpěrné konstrukce výšky do 4 m půdorysně přímočarých zřízení</t>
  </si>
  <si>
    <t>-745809722</t>
  </si>
  <si>
    <t>(4,500*4)*0,100</t>
  </si>
  <si>
    <t>(3,220+3,220+3,240+2,920+1,950+1,950+1,950+21,570)*0,100</t>
  </si>
  <si>
    <t>(9,440+5,580+4,920+8,750)*0,100</t>
  </si>
  <si>
    <t>16</t>
  </si>
  <si>
    <t>431351122</t>
  </si>
  <si>
    <t>Bednění podest, podstupňových desek a ramp včetně podpěrné konstrukce výšky do 4 m půdorysně přímočarých odstranění</t>
  </si>
  <si>
    <t>-281187011</t>
  </si>
  <si>
    <t>VV viz. 431351121</t>
  </si>
  <si>
    <t>8,671</t>
  </si>
  <si>
    <t>17</t>
  </si>
  <si>
    <t>434191423</t>
  </si>
  <si>
    <t>Osazování schodišťových stupňů kamenných s vyspárováním styčných spár, s provizorním dřevěným zábradlím a dočasným zakrytím stupnic prkny na desku, stupňů pemrlovaných nebo ostatních</t>
  </si>
  <si>
    <t>781341331</t>
  </si>
  <si>
    <t>4,500*10 " schod. stupěň 360x160 mm</t>
  </si>
  <si>
    <t>4,500*2 " schod. stupěň 360x250 mm</t>
  </si>
  <si>
    <t>3,220 " schod. stupeň 360x250 mm</t>
  </si>
  <si>
    <t>6,440+9,560+12,800+15,720+17,670+19,620+21,570 " schod. stupeň 360x160 mm</t>
  </si>
  <si>
    <t>4,920+8,750 " schod. stupeň 360x260 mm</t>
  </si>
  <si>
    <t>5,250+5,580+9,070+9,440 " schod. stupeň 360x160 mm</t>
  </si>
  <si>
    <t>18</t>
  </si>
  <si>
    <t>58388.R01</t>
  </si>
  <si>
    <t>kamenný schod. stupeň se zámkem (nášlap štokovaný) 360x250 mm</t>
  </si>
  <si>
    <t>755368762</t>
  </si>
  <si>
    <t>9,000+3,220+13,670</t>
  </si>
  <si>
    <t>25,89*1,02 'Přepočtené koeficientem množství</t>
  </si>
  <si>
    <t>19</t>
  </si>
  <si>
    <t>58388.R02</t>
  </si>
  <si>
    <t>kamenný schod. stupeň se zámkem (nášlap štokovaný) 360x160 mm</t>
  </si>
  <si>
    <t>1944016698</t>
  </si>
  <si>
    <t>45,000+103,380+29,340</t>
  </si>
  <si>
    <t>177,72*1,02 'Přepočtené koeficientem množství</t>
  </si>
  <si>
    <t>20</t>
  </si>
  <si>
    <t>451317777</t>
  </si>
  <si>
    <t>Podklad nebo lože pod dlažbu (přídlažbu) v ploše vodorovné nebo ve sklonu do 1:5, tloušťky od 50 do 100 mm z betonu prostého</t>
  </si>
  <si>
    <t>1094333916</t>
  </si>
  <si>
    <t>1,800 " kamenná dlažba skladby 2</t>
  </si>
  <si>
    <t>Komunikace pozemní</t>
  </si>
  <si>
    <t>21</t>
  </si>
  <si>
    <t>564581R01</t>
  </si>
  <si>
    <t>Zřízení podsypu nebo podkladu ze sypaniny s rozprostřením, vlhčením, a zhutněním, po zhutnění tl. 350 mm</t>
  </si>
  <si>
    <t>-412365415</t>
  </si>
  <si>
    <t>22</t>
  </si>
  <si>
    <t>583313.1</t>
  </si>
  <si>
    <t>drcená láva</t>
  </si>
  <si>
    <t>712804603</t>
  </si>
  <si>
    <t>(SKL_9*0,350)*420,00/1000 " objem. hmotnost 420 kg/m3</t>
  </si>
  <si>
    <t>21,954*1,2 'Přepočtené koeficientem množství</t>
  </si>
  <si>
    <t>23</t>
  </si>
  <si>
    <t>564801111</t>
  </si>
  <si>
    <t>Podklad ze štěrkodrti ŠD s rozprostřením a zhutněním, po zhutnění tl. 30 mm</t>
  </si>
  <si>
    <t>2112094444</t>
  </si>
  <si>
    <t>24</t>
  </si>
  <si>
    <t>564831111</t>
  </si>
  <si>
    <t>Podklad ze štěrkodrti ŠD s rozprostřením a zhutněním, po zhutnění tl. 100 mm</t>
  </si>
  <si>
    <t>-1155048197</t>
  </si>
  <si>
    <t>25</t>
  </si>
  <si>
    <t>564841112</t>
  </si>
  <si>
    <t>Podklad ze štěrkodrti ŠD s rozprostřením a zhutněním, po zhutnění tl. 130 mm</t>
  </si>
  <si>
    <t>-85794808</t>
  </si>
  <si>
    <t>26</t>
  </si>
  <si>
    <t>564851111</t>
  </si>
  <si>
    <t>Podklad ze štěrkodrti ŠD s rozprostřením a zhutněním, po zhutnění tl. 150 mm</t>
  </si>
  <si>
    <t>-357729454</t>
  </si>
  <si>
    <t>27</t>
  </si>
  <si>
    <t>564851114</t>
  </si>
  <si>
    <t>Podklad ze štěrkodrti ŠD s rozprostřením a zhutněním, po zhutnění tl. 180 mm</t>
  </si>
  <si>
    <t>-471536667</t>
  </si>
  <si>
    <t>28</t>
  </si>
  <si>
    <t>564861111</t>
  </si>
  <si>
    <t>Podklad ze štěrkodrti ŠD s rozprostřením a zhutněním, po zhutnění tl. 200 mm</t>
  </si>
  <si>
    <t>1549715141</t>
  </si>
  <si>
    <t>29</t>
  </si>
  <si>
    <t>564861113</t>
  </si>
  <si>
    <t>Podklad ze štěrkodrti ŠD s rozprostřením a zhutněním, po zhutnění tl. 220 mm</t>
  </si>
  <si>
    <t>1891843479</t>
  </si>
  <si>
    <t>30</t>
  </si>
  <si>
    <t>565136101</t>
  </si>
  <si>
    <t>Asfaltový beton vrstva podkladní ACP 22 (obalované kamenivo hrubozrnné - OKH) s rozprostřením a zhutněním v pruhu šířky do 1,5 m, po zhutnění tl. 50 mm</t>
  </si>
  <si>
    <t>-1813328103</t>
  </si>
  <si>
    <t>31</t>
  </si>
  <si>
    <t>566301111</t>
  </si>
  <si>
    <t>Úprava dosavadního krytu z kameniva drceného jako podklad pro nový kryt s vyrovnáním profilu v příčném i podélném směru, s vlhčením a zhutněním, s doplněním kamenivem drceným, jeho rozprostřením a zhutněním, v množství přes 0,04 do 0,06 m3/m2</t>
  </si>
  <si>
    <t>1207145562</t>
  </si>
  <si>
    <t>32</t>
  </si>
  <si>
    <t>567122R01</t>
  </si>
  <si>
    <t>Podklad ze směsi stmelené cementem SC bez dilatačních spár, s rozprostřením a zhutněním SC C 8/10 (KSC I), po zhutnění tl. 100 mm</t>
  </si>
  <si>
    <t>1138388740</t>
  </si>
  <si>
    <t>33</t>
  </si>
  <si>
    <t>567122112</t>
  </si>
  <si>
    <t>Podklad ze směsi stmelené cementem SC bez dilatačních spár, s rozprostřením a zhutněním SC C 8/10 (KSC I), po zhutnění tl. 130 mm</t>
  </si>
  <si>
    <t>1196768371</t>
  </si>
  <si>
    <t>34</t>
  </si>
  <si>
    <t>567122114</t>
  </si>
  <si>
    <t>Podklad ze směsi stmelené cementem SC bez dilatačních spár, s rozprostřením a zhutněním SC C 8/10 (KSC I), po zhutnění tl. 150 mm</t>
  </si>
  <si>
    <t>334111459</t>
  </si>
  <si>
    <t>35</t>
  </si>
  <si>
    <t>573111112</t>
  </si>
  <si>
    <t>Postřik infiltrační PI z asfaltu silničního s posypem kamenivem, v množství 1,00 kg/m2</t>
  </si>
  <si>
    <t>189896306</t>
  </si>
  <si>
    <t>36</t>
  </si>
  <si>
    <t>573211107</t>
  </si>
  <si>
    <t>Postřik spojovací PS bez posypu kamenivem z asfaltu silničního, v množství 0,30 kg/m2</t>
  </si>
  <si>
    <t>-1057466036</t>
  </si>
  <si>
    <t>SKL_1_Asf*2 " 2x ve skladbě</t>
  </si>
  <si>
    <t>37</t>
  </si>
  <si>
    <t>577134111</t>
  </si>
  <si>
    <t>Asfaltový beton vrstva obrusná ACO 11 (ABS) s rozprostřením a se zhutněním z nemodifikovaného asfaltu v pruhu šířky do 3 m tř. I, po zhutnění tl. 40 mm</t>
  </si>
  <si>
    <t>1611383748</t>
  </si>
  <si>
    <t>38</t>
  </si>
  <si>
    <t>577155112</t>
  </si>
  <si>
    <t>Asfaltový beton vrstva ložní ACL 16 (ABH) s rozprostřením a zhutněním z nemodifikovaného asfaltu v pruhu šířky do 3 m, po zhutnění tl. 60 mm</t>
  </si>
  <si>
    <t>-1866758615</t>
  </si>
  <si>
    <t>39</t>
  </si>
  <si>
    <t>591211111</t>
  </si>
  <si>
    <t>Kladení dlažby z kostek s provedením lože do tl. 50 mm, s vyplněním spár, s dvojím beraněním a se smetením přebytečného materiálu na krajnici drobných z kamene, do lože z kameniva těženého</t>
  </si>
  <si>
    <t>2058384980</t>
  </si>
  <si>
    <t>40</t>
  </si>
  <si>
    <t>58381007</t>
  </si>
  <si>
    <t>kostka dlažební žula drobná 8/10</t>
  </si>
  <si>
    <t>1457329928</t>
  </si>
  <si>
    <t>19,25*1,02 'Přepočtené koeficientem množství</t>
  </si>
  <si>
    <t>41</t>
  </si>
  <si>
    <t>591411111</t>
  </si>
  <si>
    <t>Kladení dlažby z mozaiky komunikací pro pěší s vyplněním spár, s dvojím beraněním a se smetením přebytečného materiálu na vzdálenost do 3 m jednobarevné, s ložem tl. do 40 mm z kameniva</t>
  </si>
  <si>
    <t>244098841</t>
  </si>
  <si>
    <t>SKL_7_P " použití původní očištěné dlažby</t>
  </si>
  <si>
    <t>42</t>
  </si>
  <si>
    <t>58381005</t>
  </si>
  <si>
    <t>kostka dlažební mozaika žula 4/6 šedá</t>
  </si>
  <si>
    <t>-1835570686</t>
  </si>
  <si>
    <t>467,45*1,02 'Přepočtené koeficientem množství</t>
  </si>
  <si>
    <t>43</t>
  </si>
  <si>
    <t>594111111</t>
  </si>
  <si>
    <t>Dlažba nebo přídlažba z lomového kamene lomařsky upraveného rigolového v ploše vodorovné nebo ve sklonu tl. do 250 mm, bez vyplnění spár, s provedením lože tl. 50 mm z kameniva těženého</t>
  </si>
  <si>
    <t>-62887687</t>
  </si>
  <si>
    <t>44</t>
  </si>
  <si>
    <t>596211110</t>
  </si>
  <si>
    <t>Kladení dlažby z betonových zámkových dlaždic komunikací pro pěší s ložem z kameniva těženého nebo drceného tl. do 40 mm, s vyplněním spár s dvojitým hutněním, vibrováním a se smetením přebytečného materiálu na krajnici tl. 60 mm skupiny A, pro plochy do 50 m2</t>
  </si>
  <si>
    <t>-1257142179</t>
  </si>
  <si>
    <t>SKL_8_P " použití původní očištěné dlažby</t>
  </si>
  <si>
    <t>45</t>
  </si>
  <si>
    <t>59245015</t>
  </si>
  <si>
    <t>dlažba zámková tvaru I 200x165x60mm přírodní</t>
  </si>
  <si>
    <t>1852696091</t>
  </si>
  <si>
    <t>30,16*1,03 'Přepočtené koeficientem množství</t>
  </si>
  <si>
    <t>46</t>
  </si>
  <si>
    <t>59245222</t>
  </si>
  <si>
    <t>dlažba zámková tvaru I základní pro nevidomé 196x161x60mm barevná</t>
  </si>
  <si>
    <t>1600091276</t>
  </si>
  <si>
    <t>27,38*1,03 'Přepočtené koeficientem množství</t>
  </si>
  <si>
    <t>47</t>
  </si>
  <si>
    <t>596212210</t>
  </si>
  <si>
    <t>Kladení dlažby z betonových zámkových dlaždic pozemních komunikací s ložem z kameniva těženého nebo drceného tl. do 50 mm, s vyplněním spár, s dvojitým hutněním vibrováním a se smetením přebytečného materiálu na krajnici tl. 80 mm skupiny A, pro plochy do 50 m2</t>
  </si>
  <si>
    <t>358421891</t>
  </si>
  <si>
    <t>48</t>
  </si>
  <si>
    <t>59245213</t>
  </si>
  <si>
    <t>dlažba zámková tvaru I 196x161x80mm přírodní</t>
  </si>
  <si>
    <t>-299948445</t>
  </si>
  <si>
    <t>58,025*1,03 'Přepočtené koeficientem množství</t>
  </si>
  <si>
    <t>49</t>
  </si>
  <si>
    <t>596412210</t>
  </si>
  <si>
    <t>Kladení dlažby z betonových vegetačních dlaždic pozemních komunikací s ložem z kameniva těženého nebo drceného tl. do 50 mm, s vyplněním spár a vegetačních otvorů, s hutněním vibrováním tl. 80 mm, pro plochy do 50 m2</t>
  </si>
  <si>
    <t>-1508218660</t>
  </si>
  <si>
    <t>50</t>
  </si>
  <si>
    <t>592460.1</t>
  </si>
  <si>
    <t>polovegetační betonová dlažba čtvercová 170x170x80 mm (200x200 mm včetně zatravnění, podíl zeleně 27,5% plochy)</t>
  </si>
  <si>
    <t>-1416162266</t>
  </si>
  <si>
    <t>88*1,02 'Přepočtené koeficientem množství</t>
  </si>
  <si>
    <t>51</t>
  </si>
  <si>
    <t>596811311</t>
  </si>
  <si>
    <t>Kladení velkoformátové dlažby pozemních komunikací a komunikací pro pěší s ložem z kameniva tl. 40 mm, s vyplněním spár, s hutněním, vibrováním a se smetením přebytečného materiálu tl. do 100 mm, velikosti dlaždic do 0,5 m2, pro plochy do 300 m2</t>
  </si>
  <si>
    <t>-587536791</t>
  </si>
  <si>
    <t>52</t>
  </si>
  <si>
    <t>583811.2</t>
  </si>
  <si>
    <t>kamenná velkoformátová dlažba 150x150-300 mm tl. 80 mm řezaná, smirkový povrch</t>
  </si>
  <si>
    <t>-519875115</t>
  </si>
  <si>
    <t>439,13*1,03 'Přepočtené koeficientem množství</t>
  </si>
  <si>
    <t>53</t>
  </si>
  <si>
    <t>596811411</t>
  </si>
  <si>
    <t>Kladení velkoformátové dlažby pozemních komunikací a komunikací pro pěší s ložem z kameniva tl. 40 mm, s vyplněním spár, s hutněním, vibrováním a se smetením přebytečného materiálu tl. přes 100 do 150 mm, velikosti dlaždic do 0,5 m2, pro plochy do 300 m2</t>
  </si>
  <si>
    <t>381948303</t>
  </si>
  <si>
    <t>54</t>
  </si>
  <si>
    <t>583811.1</t>
  </si>
  <si>
    <t>kamenná velkoformátová dlažba 150x150-300 mm tl. 120 mm řezaná, smirkový povrch</t>
  </si>
  <si>
    <t>-509540263</t>
  </si>
  <si>
    <t>1479,54*1,03 'Přepočtené koeficientem množství</t>
  </si>
  <si>
    <t>55</t>
  </si>
  <si>
    <t>583811.3</t>
  </si>
  <si>
    <t>kamenná velkoformátová dlažba 500x500 mm tl. 120 mm řezaná, smirkový povrch (dvě odlišné barvy - šachovnice)</t>
  </si>
  <si>
    <t>1078270447</t>
  </si>
  <si>
    <t>10,24*1,03 'Přepočtené koeficientem množství</t>
  </si>
  <si>
    <t>56</t>
  </si>
  <si>
    <t>597961R01</t>
  </si>
  <si>
    <t>Rigol dlážděný do lože z betonu prostého tl. 100 mm, s vyplněním a zatřením spár cementovou maltou z kamenné žlabovky celkové šířky 270 mm</t>
  </si>
  <si>
    <t>1876723105</t>
  </si>
  <si>
    <t>10,000</t>
  </si>
  <si>
    <t>57</t>
  </si>
  <si>
    <t>599432111</t>
  </si>
  <si>
    <t>Vyplnění spár dlažby (přídlažby) z lomového kamene v jakémkoliv sklonu plochy a jakékoliv tloušťky kamenivem těženým</t>
  </si>
  <si>
    <t>-2133253363</t>
  </si>
  <si>
    <t>Úpravy povrchů, podlahy a osazování výplní</t>
  </si>
  <si>
    <t>58</t>
  </si>
  <si>
    <t>631311234</t>
  </si>
  <si>
    <t>Mazanina z betonu prostého se zvýšenými nároky na prostředí tl. přes 120 do 240 mm tř. C 25/30</t>
  </si>
  <si>
    <t>1297540724</t>
  </si>
  <si>
    <t>SKL_10*((0,000+0,550)/2)</t>
  </si>
  <si>
    <t>59</t>
  </si>
  <si>
    <t>631319013</t>
  </si>
  <si>
    <t>Příplatek k cenám mazanin za úpravu povrchu mazaniny přehlazením, mazanina tl. přes 120 do 240 mm</t>
  </si>
  <si>
    <t>-1820062399</t>
  </si>
  <si>
    <t>VV viz. 631311234</t>
  </si>
  <si>
    <t>10,860</t>
  </si>
  <si>
    <t>60</t>
  </si>
  <si>
    <t>631319185</t>
  </si>
  <si>
    <t>Příplatek k cenám mazanin za sklon přes 15° do 35° od vodorovné roviny mazanina tl. přes 120 do 240 mm</t>
  </si>
  <si>
    <t>-851187346</t>
  </si>
  <si>
    <t>Trubní vedení</t>
  </si>
  <si>
    <t>61</t>
  </si>
  <si>
    <t>871350410</t>
  </si>
  <si>
    <t>Montáž kanalizačního potrubí z plastů z polypropylenu PP korugovaného nebo žebrovaného SN 10 DN 200</t>
  </si>
  <si>
    <t>-583541559</t>
  </si>
  <si>
    <t>6,000 " napojení DV2 na stáv. L.O.</t>
  </si>
  <si>
    <t>62</t>
  </si>
  <si>
    <t>28617044</t>
  </si>
  <si>
    <t>trubka kanalizační PP korugovaná DN 200x6000mm SN10</t>
  </si>
  <si>
    <t>-881756109</t>
  </si>
  <si>
    <t>6*1,015 'Přepočtené koeficientem množství</t>
  </si>
  <si>
    <t>63</t>
  </si>
  <si>
    <t>877315211</t>
  </si>
  <si>
    <t>Montáž tvarovek na kanalizačním potrubí z trub z plastu z tvrdého PVC nebo z polypropylenu v otevřeném výkopu jednoosých DN 160</t>
  </si>
  <si>
    <t>-1129868145</t>
  </si>
  <si>
    <t>4,000 " koleno 45°/90° větve drenáže DN 150</t>
  </si>
  <si>
    <t>16,000 " spojka drenáž. potrubí DN 150</t>
  </si>
  <si>
    <t>64</t>
  </si>
  <si>
    <t>28613271</t>
  </si>
  <si>
    <t>koleno drenážního systému komunikací, letišť a sportovišť 45° DN 150</t>
  </si>
  <si>
    <t>-1813920896</t>
  </si>
  <si>
    <t>65</t>
  </si>
  <si>
    <t>28613276</t>
  </si>
  <si>
    <t>koleno drenážního systému komunikací, letišť a sportovišť 90° DN 150</t>
  </si>
  <si>
    <t>-2080261603</t>
  </si>
  <si>
    <t>66</t>
  </si>
  <si>
    <t>28613251</t>
  </si>
  <si>
    <t>nátrubek spojovací drenážního systému komunikací, letišť a sportovišť DN 150</t>
  </si>
  <si>
    <t>244053624</t>
  </si>
  <si>
    <t>67</t>
  </si>
  <si>
    <t>877315221</t>
  </si>
  <si>
    <t>Montáž tvarovek na kanalizačním potrubí z trub z plastu z tvrdého PVC nebo z polypropylenu v otevřeném výkopu dvouosých DN 160</t>
  </si>
  <si>
    <t>921838061</t>
  </si>
  <si>
    <t>3,000 " propojení větví drenáže DN 150</t>
  </si>
  <si>
    <t>68</t>
  </si>
  <si>
    <t>28613291</t>
  </si>
  <si>
    <t>tvarovka T-kus drenážního systému komunikací, letišť a sportovišť DN 150</t>
  </si>
  <si>
    <t>562300400</t>
  </si>
  <si>
    <t>69</t>
  </si>
  <si>
    <t>877350410</t>
  </si>
  <si>
    <t>Montáž tvarovek na kanalizačním plastovém potrubí z polypropylenu PP korugovaného nebo žebrovaného kolen DN 200</t>
  </si>
  <si>
    <t>-1785875559</t>
  </si>
  <si>
    <t>2,000 " napojení DV2  - 2x K 45°</t>
  </si>
  <si>
    <t>70</t>
  </si>
  <si>
    <t>28617339</t>
  </si>
  <si>
    <t>koleno kanalizace PP KG DN 200x45°</t>
  </si>
  <si>
    <t>190281559</t>
  </si>
  <si>
    <t>2*1,015 'Přepočtené koeficientem množství</t>
  </si>
  <si>
    <t>Ostatní konstrukce a práce, bourání</t>
  </si>
  <si>
    <t>71</t>
  </si>
  <si>
    <t>914111111</t>
  </si>
  <si>
    <t>Montáž svislé dopravní značky základní velikosti do 1 m2 objímkami na sloupky nebo konzoly</t>
  </si>
  <si>
    <t>1887554336</t>
  </si>
  <si>
    <t>SO_101_D.1_1_Technická_zpráva.pdf</t>
  </si>
  <si>
    <t>SO_101_D.1_6_Situace_dopravního_řešení.pdf</t>
  </si>
  <si>
    <t>2,000 " C 4a</t>
  </si>
  <si>
    <t>2,000 " IP 6</t>
  </si>
  <si>
    <t>3,000 " IZ 5a</t>
  </si>
  <si>
    <t>3,000 " IZ 5b</t>
  </si>
  <si>
    <t>1,000 " IS 21c</t>
  </si>
  <si>
    <t>1,000 " E 7b</t>
  </si>
  <si>
    <t>Mezisoučet " nové SDZ</t>
  </si>
  <si>
    <t>1,000 " A6 b</t>
  </si>
  <si>
    <t>1,000 " A 7b</t>
  </si>
  <si>
    <t>2,000 " E 1</t>
  </si>
  <si>
    <t>1,000 " IP 10a</t>
  </si>
  <si>
    <t>3,000 " IP 11b</t>
  </si>
  <si>
    <t>1,000 " IP 12</t>
  </si>
  <si>
    <t>1,000 " E 13-mc</t>
  </si>
  <si>
    <t>1,000 " IS 21a</t>
  </si>
  <si>
    <t>Mezisoučet " přesunuté SDZ</t>
  </si>
  <si>
    <t>72</t>
  </si>
  <si>
    <t>40445619</t>
  </si>
  <si>
    <t>zákazové, příkazové dopravní značky B1-B34, C1-15 500mm</t>
  </si>
  <si>
    <t>2123131090</t>
  </si>
  <si>
    <t>73</t>
  </si>
  <si>
    <t>40445621</t>
  </si>
  <si>
    <t>informativní značky provozní IP1-IP3, IP4b-IP7, IP10a, b 500x500mm</t>
  </si>
  <si>
    <t>1307854498</t>
  </si>
  <si>
    <t>74</t>
  </si>
  <si>
    <t>40445626</t>
  </si>
  <si>
    <t>informativní značky provozní IP14-IP29, IP31 750x1000mm</t>
  </si>
  <si>
    <t>1380282955</t>
  </si>
  <si>
    <t>75</t>
  </si>
  <si>
    <t>40445639</t>
  </si>
  <si>
    <t>informativní značky směrové IS 18a, IS21 300x200mm</t>
  </si>
  <si>
    <t>16373082</t>
  </si>
  <si>
    <t>76</t>
  </si>
  <si>
    <t>40445650</t>
  </si>
  <si>
    <t>dodatkové tabulky E7, E12, E13 500x300mm</t>
  </si>
  <si>
    <t>-216933467</t>
  </si>
  <si>
    <t>77</t>
  </si>
  <si>
    <t>40445257</t>
  </si>
  <si>
    <t>svorka upínací na sloupek D 70mm</t>
  </si>
  <si>
    <t>1603521156</t>
  </si>
  <si>
    <t>2,000*2 " C 4a</t>
  </si>
  <si>
    <t>2,000*2 " IP 6</t>
  </si>
  <si>
    <t>3,000*3 " IZ 5a</t>
  </si>
  <si>
    <t>3,000*3 " IZ 5b</t>
  </si>
  <si>
    <t>1,000*2 " IS 21c</t>
  </si>
  <si>
    <t>1,000*2 " E 7b</t>
  </si>
  <si>
    <t>78</t>
  </si>
  <si>
    <t>914311R01</t>
  </si>
  <si>
    <t>1221179319</t>
  </si>
  <si>
    <t>4,000+18,000 " nutná koordinace s SO 401 Veřejné osvětlení</t>
  </si>
  <si>
    <t>79</t>
  </si>
  <si>
    <t>914511112</t>
  </si>
  <si>
    <t>Montáž sloupku dopravních značek délky do 3,5 m do hliníkové patky</t>
  </si>
  <si>
    <t>-1565469849</t>
  </si>
  <si>
    <t>5,000 " přesunuté SDZ</t>
  </si>
  <si>
    <t>6,000 " nové SDZ</t>
  </si>
  <si>
    <t>80</t>
  </si>
  <si>
    <t>40445230</t>
  </si>
  <si>
    <t>sloupek pro dopravní značku Zn D 70mm v 3,5m</t>
  </si>
  <si>
    <t>1998780883</t>
  </si>
  <si>
    <t>81</t>
  </si>
  <si>
    <t>915211111</t>
  </si>
  <si>
    <t>Vodorovné dopravní značení stříkaným plastem dělící čára šířky 125 mm souvislá bílá základní</t>
  </si>
  <si>
    <t>1754471139</t>
  </si>
  <si>
    <t>1,890+11,780 " V1a (plná čára š. 125 mm)</t>
  </si>
  <si>
    <t>82</t>
  </si>
  <si>
    <t>915211121</t>
  </si>
  <si>
    <t>Vodorovné dopravní značení stříkaným plastem dělící čára šířky 125 mm přerušovaná bílá základní</t>
  </si>
  <si>
    <t>1342227935</t>
  </si>
  <si>
    <t>9,980 " V2b (přerušovaná čára š. 125 mm - 3/1,5)</t>
  </si>
  <si>
    <t>11,870+14,600 " V2b (přerušovaná čára š. 125 mm - 1,5/1,5)</t>
  </si>
  <si>
    <t>83</t>
  </si>
  <si>
    <t>915223111</t>
  </si>
  <si>
    <t>Orientační prvky pro nevidomé z plastu na pozemních komunikacích a komunikacích pro pěší varovný pás šířky 420 mm</t>
  </si>
  <si>
    <t>-355684774</t>
  </si>
  <si>
    <t>1,385+1,385+10,165+11,650+3,080+35,845+5,570</t>
  </si>
  <si>
    <t>84</t>
  </si>
  <si>
    <t>915231111</t>
  </si>
  <si>
    <t>Vodorovné dopravní značení stříkaným plastem přechody pro chodce, šipky, symboly nápisy bílé základní</t>
  </si>
  <si>
    <t>-516485523</t>
  </si>
  <si>
    <t>(4,000*0,500)*13 " V7a (přechod pro chodce)</t>
  </si>
  <si>
    <t>85</t>
  </si>
  <si>
    <t>915491.R01</t>
  </si>
  <si>
    <t>Vodorovné dopravní značení provedené jiným odstínem betonové dlažby</t>
  </si>
  <si>
    <t>-872323032</t>
  </si>
  <si>
    <t>5,410 " V 10b</t>
  </si>
  <si>
    <t>5,000 " V 10f (symbl ZTP)</t>
  </si>
  <si>
    <t>86</t>
  </si>
  <si>
    <t>915491.R02</t>
  </si>
  <si>
    <t>Vodorovné dopravní značení provedené jiným odstínem kamenné dlažby</t>
  </si>
  <si>
    <t>-1289312261</t>
  </si>
  <si>
    <t>87</t>
  </si>
  <si>
    <t>915491211</t>
  </si>
  <si>
    <t>Osazení vodicího proužku z betonových prefabrikovaných desek tl. do 120 mm do lože z cementové malty tl. 20 mm, s vyplněním a zatřením spár cementovou maltou s podkladní vrstvou z betonu prostého tl. 50 až 100 mm šířka proužku 250 mm</t>
  </si>
  <si>
    <t>-33715373</t>
  </si>
  <si>
    <t>2,150/0,250</t>
  </si>
  <si>
    <t>SKL_2_Hmat/0,200</t>
  </si>
  <si>
    <t>SKL_2_UměVL/0,095</t>
  </si>
  <si>
    <t>SKL_5_Hmat/0,200</t>
  </si>
  <si>
    <t>SKL_5A_Hmat/0,200</t>
  </si>
  <si>
    <t>SKL_6_Hmat/0,200</t>
  </si>
  <si>
    <t>59211.1</t>
  </si>
  <si>
    <t>umělá vodící linie 255x255x60 mm</t>
  </si>
  <si>
    <t>-328719839</t>
  </si>
  <si>
    <t>8,600*0,250</t>
  </si>
  <si>
    <t>2,15*1,03 'Přepočtené koeficientem množství</t>
  </si>
  <si>
    <t>89</t>
  </si>
  <si>
    <t>59211.2</t>
  </si>
  <si>
    <t>umělá vodící linie 95x200x70 mm</t>
  </si>
  <si>
    <t>-166608465</t>
  </si>
  <si>
    <t>2,45*1,03 'Přepočtené koeficientem množství</t>
  </si>
  <si>
    <t>90</t>
  </si>
  <si>
    <t>59211.3</t>
  </si>
  <si>
    <t>hmatná dlažba 200x200x60 mm</t>
  </si>
  <si>
    <t>1207829910</t>
  </si>
  <si>
    <t>42,05*1,03 'Přepočtené koeficientem množství</t>
  </si>
  <si>
    <t>91</t>
  </si>
  <si>
    <t>915491212</t>
  </si>
  <si>
    <t>Osazení vodicího proužku z betonových prefabrikovaných desek tl. do 120 mm do lože z cementové malty tl. 20 mm, s vyplněním a zatřením spár cementovou maltou s podkladní vrstvou z betonu prostého tl. 50 až 100 mm šířka proužku 500 mm</t>
  </si>
  <si>
    <t>1349979176</t>
  </si>
  <si>
    <t>21,890/0,500</t>
  </si>
  <si>
    <t>92</t>
  </si>
  <si>
    <t>-763451218</t>
  </si>
  <si>
    <t>43,780*0,500</t>
  </si>
  <si>
    <t>21,89*1,03 'Přepočtené koeficientem množství</t>
  </si>
  <si>
    <t>93</t>
  </si>
  <si>
    <t>915611111</t>
  </si>
  <si>
    <t>Předznačení pro vodorovné značení stříkané barvou nebo prováděné z nátěrových hmot liniové dělicí čáry, vodicí proužky</t>
  </si>
  <si>
    <t>-2024824116</t>
  </si>
  <si>
    <t>VV viz. 915211111</t>
  </si>
  <si>
    <t>13,670</t>
  </si>
  <si>
    <t>VV viz. 915211121</t>
  </si>
  <si>
    <t>36,450</t>
  </si>
  <si>
    <t>94</t>
  </si>
  <si>
    <t>915621111</t>
  </si>
  <si>
    <t>Předznačení pro vodorovné značení stříkané barvou nebo prováděné z nátěrových hmot plošné šipky, symboly, nápisy</t>
  </si>
  <si>
    <t>-888096460</t>
  </si>
  <si>
    <t>VV viz. 915231111</t>
  </si>
  <si>
    <t>26,000</t>
  </si>
  <si>
    <t>95</t>
  </si>
  <si>
    <t>916111113</t>
  </si>
  <si>
    <t>Osazení silniční obruby z dlažebních kostek v jedné řadě s ložem tl. přes 50 do 100 mm, s vyplněním a zatřením spár cementovou maltou z velkých kostek s boční opěrou z betonu prostého, do lože z betonu prostého téže značky</t>
  </si>
  <si>
    <t>706224762</t>
  </si>
  <si>
    <t>6,000*2*2 " 2x dvojřádek do skladby 2</t>
  </si>
  <si>
    <t>96</t>
  </si>
  <si>
    <t>58381008</t>
  </si>
  <si>
    <t>kostka dlažební žula velká 15/17</t>
  </si>
  <si>
    <t>-591877818</t>
  </si>
  <si>
    <t>24*0,1717 'Přepočtené koeficientem množství</t>
  </si>
  <si>
    <t>97</t>
  </si>
  <si>
    <t>916131213</t>
  </si>
  <si>
    <t>Osazení silničního obrubníku betonového se zřízením lože, s vyplněním a zatřením spár cementovou maltou stojatého s boční opěrou z betonu prostého, do lože z betonu prostého</t>
  </si>
  <si>
    <t>820509462</t>
  </si>
  <si>
    <t>SO_101_D.1_07_Situace_obrub.pdf</t>
  </si>
  <si>
    <t>1,000+6,300+2,230+18,500+18,500 " přímá obruba 150x250 mm</t>
  </si>
  <si>
    <t>1,500 " nájezdová obruba 150x150 mm</t>
  </si>
  <si>
    <t>2,000 " přechodová bruba 150x250 mm</t>
  </si>
  <si>
    <t>98</t>
  </si>
  <si>
    <t>59217028</t>
  </si>
  <si>
    <t>obrubník betonový silniční nájezdový 500x150x150mm</t>
  </si>
  <si>
    <t>1349189556</t>
  </si>
  <si>
    <t>1,5*1,02 'Přepočtené koeficientem množství</t>
  </si>
  <si>
    <t>99</t>
  </si>
  <si>
    <t>59217030</t>
  </si>
  <si>
    <t>obrubník betonový silniční přechodový 1000x150x150-250mm</t>
  </si>
  <si>
    <t>-1039467781</t>
  </si>
  <si>
    <t>2*1,02 'Přepočtené koeficientem množství</t>
  </si>
  <si>
    <t>100</t>
  </si>
  <si>
    <t>59217031</t>
  </si>
  <si>
    <t>obrubník betonový silniční 1000x150x250mm</t>
  </si>
  <si>
    <t>1269230686</t>
  </si>
  <si>
    <t>46,53*1,02 'Přepočtené koeficientem množství</t>
  </si>
  <si>
    <t>101</t>
  </si>
  <si>
    <t>916241113</t>
  </si>
  <si>
    <t>Osazení obrubníku kamenného se zřízením lože, s vyplněním a zatřením spár cementovou maltou ležatého s boční opěrou z betonu prostého, do lože z betonu prostého</t>
  </si>
  <si>
    <t>-970813552</t>
  </si>
  <si>
    <t>3,020 " kamenná bočnice schod. stupňů 300x200 mm</t>
  </si>
  <si>
    <t>102</t>
  </si>
  <si>
    <t>58380003</t>
  </si>
  <si>
    <t>obrubník kamenný žulový přímý 1000x300x200mm</t>
  </si>
  <si>
    <t>-1546350667</t>
  </si>
  <si>
    <t>3,02*1,02 'Přepočtené koeficientem množství</t>
  </si>
  <si>
    <t>103</t>
  </si>
  <si>
    <t>916241213</t>
  </si>
  <si>
    <t>Osazení obrubníku kamenného se zřízením lože, s vyplněním a zatřením spár cementovou maltou stojatého s boční opěrou z betonu prostého, do lože z betonu prostého</t>
  </si>
  <si>
    <t>835965224</t>
  </si>
  <si>
    <t>19,290+3,850+10,640+12,740+3,100+5,430+1,180+2,020+1,000+23,720+14,770+13,600+14,770+1,340+7,530+0,100+7,000+4,230+1,750+1,750+1,000+3,720+182,340</t>
  </si>
  <si>
    <t>Mezisoučet " kam. obruba 100x200 mm</t>
  </si>
  <si>
    <t>21,030+6,000+0,750+8,190+7,910+7,670+7,440+38,060+6,810+2,680+3,250+38,780+7,950+6,000+0,750+6,000+6,000+6,000+6,000+0,760+1,860+4,000+6,320</t>
  </si>
  <si>
    <t>3,980+8,300+4,010+2,000+0,750+8,000+1,750+8,000+1,500+8,900+3,500+1,500+1,650+0,750+19,290+5,890+5,890+5,890+5,890+1,760+0,750+23,840+3,000</t>
  </si>
  <si>
    <t>Mezisoučet " kam. obruba 250x200 mm</t>
  </si>
  <si>
    <t>104</t>
  </si>
  <si>
    <t>58380004</t>
  </si>
  <si>
    <t>obrubník kamenný žulový přímý 1000x250x200mm</t>
  </si>
  <si>
    <t>265674780</t>
  </si>
  <si>
    <t>327*1,02 'Přepočtené koeficientem množství</t>
  </si>
  <si>
    <t>105</t>
  </si>
  <si>
    <t>58380374</t>
  </si>
  <si>
    <t>obrubník kamenný žulový přímý 1000x100x200mm</t>
  </si>
  <si>
    <t>-1509881039</t>
  </si>
  <si>
    <t>336,87*1,02 'Přepočtené koeficientem množství</t>
  </si>
  <si>
    <t>106</t>
  </si>
  <si>
    <t>916331112</t>
  </si>
  <si>
    <t>Osazení zahradního obrubníku betonového s ložem tl. od 50 do 100 mm z betonu prostého tř. C 25/30 s boční opěrou z betonu prostého tř. C 25/30</t>
  </si>
  <si>
    <t>-946781169</t>
  </si>
  <si>
    <t>5,550+10,150+54,140+14,330+9,720</t>
  </si>
  <si>
    <t>107</t>
  </si>
  <si>
    <t>59217011</t>
  </si>
  <si>
    <t>obrubník betonový zahradní 500x50x200mm</t>
  </si>
  <si>
    <t>413154646</t>
  </si>
  <si>
    <t>93,89*1,02 'Přepočtené koeficientem množství</t>
  </si>
  <si>
    <t>108</t>
  </si>
  <si>
    <t>916431112</t>
  </si>
  <si>
    <t>Osazení betonového bezbariérového obrubníku s ložem betonovým tl. 150 mm úložná šířka do 400 mm s boční opěrou</t>
  </si>
  <si>
    <t>-2167505</t>
  </si>
  <si>
    <t>21,000 " VDZ V 10b v polovegetační dlažbě</t>
  </si>
  <si>
    <t>109</t>
  </si>
  <si>
    <t>59217038</t>
  </si>
  <si>
    <t>obrubník betonový parkový barevný 500x80x250mm</t>
  </si>
  <si>
    <t>1576109983</t>
  </si>
  <si>
    <t>21*1,02 'Přepočtené koeficientem množství</t>
  </si>
  <si>
    <t>110</t>
  </si>
  <si>
    <t>919112212</t>
  </si>
  <si>
    <t>Řezání dilatačních spár v živičném krytu vytvoření komůrky pro těsnící zálivku šířky 10 mm, hloubky 20 mm</t>
  </si>
  <si>
    <t>-649124017</t>
  </si>
  <si>
    <t>podél obrub</t>
  </si>
  <si>
    <t>8,100+0,375+0,435+2,615+0,635+7,335+0,435+0,450+1,795+0,670</t>
  </si>
  <si>
    <t>8,460+3,015+11,495+22,435+0,630+0,565+0,545+0,435+0,930+6,105+2,325</t>
  </si>
  <si>
    <t>111</t>
  </si>
  <si>
    <t>919122111</t>
  </si>
  <si>
    <t>Utěsnění dilatačních spár zálivkou za tepla v cementobetonovém nebo živičném krytu včetně adhezního nátěru s těsnicím profilem pod zálivkou, pro komůrky šířky 10 mm, hloubky 20 mm</t>
  </si>
  <si>
    <t>-529617547</t>
  </si>
  <si>
    <t>VV viz. 919112212</t>
  </si>
  <si>
    <t>79,785</t>
  </si>
  <si>
    <t>112</t>
  </si>
  <si>
    <t>919125111</t>
  </si>
  <si>
    <t>Těsnění svislé spáry mezi živičným krytem a ostatními prvky asfaltovou páskou samolepicí šířky 35 mm tl. 8 mm</t>
  </si>
  <si>
    <t>1188950357</t>
  </si>
  <si>
    <t>113</t>
  </si>
  <si>
    <t>919721291</t>
  </si>
  <si>
    <t>Vyztužení stávajícího asfaltového povrchu geomříží ze skelných vláken</t>
  </si>
  <si>
    <t>-1048003382</t>
  </si>
  <si>
    <t>SKL_1_Asf_F " v případě potřeby</t>
  </si>
  <si>
    <t>114</t>
  </si>
  <si>
    <t>919726123</t>
  </si>
  <si>
    <t>Geotextilie netkaná pro ochranu, separaci nebo filtraci měrná hmotnost přes 300 do 500 g/m2</t>
  </si>
  <si>
    <t>-495373547</t>
  </si>
  <si>
    <t>115</t>
  </si>
  <si>
    <t>919731121</t>
  </si>
  <si>
    <t>Zarovnání styčné plochy podkladu nebo krytu podél vybourané části komunikace nebo zpevněné plochy živičné tl. do 50 mm</t>
  </si>
  <si>
    <t>1335469398</t>
  </si>
  <si>
    <t>9,550+10,175+0,500+22,450+0,500+6,965 " napojení na stáv. stav</t>
  </si>
  <si>
    <t>116</t>
  </si>
  <si>
    <t>919732211</t>
  </si>
  <si>
    <t>Styčná pracovní spára při napojení nového živičného povrchu na stávající se zalitím za tepla modifikovanou asfaltovou hmotou s posypem vápenným hydrátem šířky do 15 mm, hloubky do 25 mm včetně prořezání spáry</t>
  </si>
  <si>
    <t>579578148</t>
  </si>
  <si>
    <t>117</t>
  </si>
  <si>
    <t>935113211</t>
  </si>
  <si>
    <t>Osazení odvodňovacího žlabu s krycím roštem betonového šířky do 200 mm</t>
  </si>
  <si>
    <t>396803075</t>
  </si>
  <si>
    <t>SO_101_D.1.01_Technická_zpráva.pdf</t>
  </si>
  <si>
    <t>20,800 " výšková úprava stávajícího liniového odvodnění</t>
  </si>
  <si>
    <t>35,000 " nové liniové odvodnění</t>
  </si>
  <si>
    <t>118</t>
  </si>
  <si>
    <t>114263</t>
  </si>
  <si>
    <t>-73854060</t>
  </si>
  <si>
    <t>34*1,02 'Přepočtené koeficientem množství</t>
  </si>
  <si>
    <t>119</t>
  </si>
  <si>
    <t>114963</t>
  </si>
  <si>
    <t>-668132401</t>
  </si>
  <si>
    <t>120</t>
  </si>
  <si>
    <t>115263</t>
  </si>
  <si>
    <t>524518322</t>
  </si>
  <si>
    <t>121</t>
  </si>
  <si>
    <t>11082</t>
  </si>
  <si>
    <t>1321349479</t>
  </si>
  <si>
    <t>122</t>
  </si>
  <si>
    <t>938908411</t>
  </si>
  <si>
    <t>Čištění vozovek splachováním vodou povrchu podkladu nebo krytu živičného, betonového nebo dlážděného</t>
  </si>
  <si>
    <t>-892951131</t>
  </si>
  <si>
    <t>SKL_1_Asf+SKL_1_Asf_F</t>
  </si>
  <si>
    <t>SKL_2_Hmat+SKL_2_Kdl+SKL_2_UměVL</t>
  </si>
  <si>
    <t>SKL_3_BD_P+SKL_3_DB</t>
  </si>
  <si>
    <t>SKL_4_PS_Bdl+SKL_4_PS_Veg+SKL_4A_PS_Kdl</t>
  </si>
  <si>
    <t>SKL_5+SKL_5_část+SKL_5_Hmat+SKL_5_šach+SKL_5_ZTP</t>
  </si>
  <si>
    <t>SKL_5A+SKL_5A_Hmat+SKL_5A_ZTP</t>
  </si>
  <si>
    <t>SKL_6+SKL_6_1+SKL_6_Hmat+SKL_6_ZTP</t>
  </si>
  <si>
    <t>SKL_7+SKL_7_P</t>
  </si>
  <si>
    <t>SKL_8+SKL_8_P+SKL_8_ZTP</t>
  </si>
  <si>
    <t>SKL_9+SKL_9_1</t>
  </si>
  <si>
    <t>123</t>
  </si>
  <si>
    <t>966006132</t>
  </si>
  <si>
    <t>Odstranění dopravních nebo orientačních značek se sloupkem s uložením hmot na vzdálenost do 20 m nebo s naložením na dopravní prostředek, se zásypem jam a jeho zhutněním s betonovou patkou</t>
  </si>
  <si>
    <t>2105698923</t>
  </si>
  <si>
    <t>7,000 " rušené SDZ</t>
  </si>
  <si>
    <t>124</t>
  </si>
  <si>
    <t>966006211</t>
  </si>
  <si>
    <t>Odstranění (demontáž) svislých dopravních značek s odklizením materiálu na skládku na vzdálenost do 20 m nebo s naložením na dopravní prostředek ze sloupů, sloupků nebo konzol</t>
  </si>
  <si>
    <t>291524467</t>
  </si>
  <si>
    <t>11,000 " přesunuté SDZ</t>
  </si>
  <si>
    <t>15,000 " rušené SDZ</t>
  </si>
  <si>
    <t>125</t>
  </si>
  <si>
    <t>966008221</t>
  </si>
  <si>
    <t>Bourání odvodňovacího žlabu s odklizením a uložením vybouraného materiálu na skládku na vzdálenost do 10 m nebo s naložením na dopravní prostředek betonového nebo polymerbetonového s krycím roštem šířky do 200 mm</t>
  </si>
  <si>
    <t>-361649957</t>
  </si>
  <si>
    <t>20,800 " výšková úprava stávajícího liniového odvodnění (použití stávajících prvků L.O.)</t>
  </si>
  <si>
    <t>126</t>
  </si>
  <si>
    <t>977151118</t>
  </si>
  <si>
    <t>Jádrové vrty diamantovými korunkami do stavebních materiálů (železobetonu, betonu, cihel, obkladů, dlažeb, kamene) průměru přes 90 do 100 mm</t>
  </si>
  <si>
    <t>-2134950934</t>
  </si>
  <si>
    <t>0,100*6 " prostup obrubou 100x200 mm</t>
  </si>
  <si>
    <t>127</t>
  </si>
  <si>
    <t>977151126</t>
  </si>
  <si>
    <t>Jádrové vrty diamantovými korunkami do stavebních materiálů (železobetonu, betonu, cihel, obkladů, dlažeb, kamene) průměru přes 200 do 225 mm</t>
  </si>
  <si>
    <t>-1323881813</t>
  </si>
  <si>
    <t>0,100 " napojení DV2 na stávající L.O.</t>
  </si>
  <si>
    <t>128</t>
  </si>
  <si>
    <t>977211131</t>
  </si>
  <si>
    <t>Řezání konstrukcí stěnovou pilou z kamene hloubka řezu do 200 mm</t>
  </si>
  <si>
    <t>-1679361307</t>
  </si>
  <si>
    <t>1,000*6 " seříznutí obruby proti proříznutí pneu v PS</t>
  </si>
  <si>
    <t>129</t>
  </si>
  <si>
    <t>979054451</t>
  </si>
  <si>
    <t>Očištění vybouraných prvků komunikací od spojovacího materiálu s odklizením a uložením očištěných hmot a spojovacího materiálu na skládku na vzdálenost do 10 m zámkových dlaždic s vyplněním spár kamenivem</t>
  </si>
  <si>
    <t>663550545</t>
  </si>
  <si>
    <t>původní odstraněná bet. dlažba určená k předláždění</t>
  </si>
  <si>
    <t>130</t>
  </si>
  <si>
    <t>979071031</t>
  </si>
  <si>
    <t>Očištění vybouraných dlažebních kostek při překopech inženýrských sítí od spojovacího materiálu, s přemístěním hmot na skládku na vzdálenost do 3 m nebo s naložením na dopravní prostředek mozaikových, s původním vyplněním spár kamenivem těženým nebo cementovou maltou</t>
  </si>
  <si>
    <t>-360302519</t>
  </si>
  <si>
    <t>původní odstraněná kam. dlažba určená k předláždění</t>
  </si>
  <si>
    <t>998</t>
  </si>
  <si>
    <t>131</t>
  </si>
  <si>
    <t>998223011</t>
  </si>
  <si>
    <t>Přesun hmot pro pozemní komunikace s krytem dlážděným dopravní vzdálenost do 200 m jakékoliv délky objektu</t>
  </si>
  <si>
    <t>-227572266</t>
  </si>
  <si>
    <t>PSV</t>
  </si>
  <si>
    <t>Práce a dodávky PSV</t>
  </si>
  <si>
    <t>711</t>
  </si>
  <si>
    <t>Izolace proti vodě, vlhkosti a plynům</t>
  </si>
  <si>
    <t>132</t>
  </si>
  <si>
    <t>711161212</t>
  </si>
  <si>
    <t>Izolace proti zemní vlhkosti a beztlakové vodě nopovými fóliemi na ploše svislé S vrstva ochranná, odvětrávací a drenážní výška nopku 8,0 mm, tl. fólie do 0,6 mm</t>
  </si>
  <si>
    <t>1267906515</t>
  </si>
  <si>
    <t>(10,890+9,450+10,790)*1,000 " napojení na stavební objekt</t>
  </si>
  <si>
    <t>133</t>
  </si>
  <si>
    <t>711161384</t>
  </si>
  <si>
    <t>Izolace proti zemní vlhkosti a beztlakové vodě nopovými fóliemi ostatní ukončení izolace provětrávací lištou</t>
  </si>
  <si>
    <t>1050195171</t>
  </si>
  <si>
    <t>10,890+9,450+10,790 " napojení na stavební objekt</t>
  </si>
  <si>
    <t>134</t>
  </si>
  <si>
    <t>998711101</t>
  </si>
  <si>
    <t>Přesun hmot pro izolace proti vodě, vlhkosti a plynům stanovený z hmotnosti přesunovaného materiálu vodorovná dopravní vzdálenost do 50 m v objektech výšky do 6 m</t>
  </si>
  <si>
    <t>-1204190380</t>
  </si>
  <si>
    <t>721</t>
  </si>
  <si>
    <t>Zdravotechnika - vnitřní kanalizace</t>
  </si>
  <si>
    <t>135</t>
  </si>
  <si>
    <t>721173317</t>
  </si>
  <si>
    <t>Potrubí z trub PVC SN4 dešťové DN 160</t>
  </si>
  <si>
    <t>420919934</t>
  </si>
  <si>
    <t>0,500*2 " napojení DV1 a DV2</t>
  </si>
  <si>
    <t>136</t>
  </si>
  <si>
    <t>721211611</t>
  </si>
  <si>
    <t>Podlahové vpusti dvorní vtoky (vpusti) se svislým odtokem a zápachovou klapkou DN 110/160 mříž litina 226x226</t>
  </si>
  <si>
    <t>465917414</t>
  </si>
  <si>
    <t>1,000 " DV1</t>
  </si>
  <si>
    <t>1,000 " DV2</t>
  </si>
  <si>
    <t>137</t>
  </si>
  <si>
    <t>998721101</t>
  </si>
  <si>
    <t>Přesun hmot pro vnitřní kanalizace stanovený z hmotnosti přesunovaného materiálu vodorovná dopravní vzdálenost do 50 m v objektech výšky do 6 m</t>
  </si>
  <si>
    <t>-1530475264</t>
  </si>
  <si>
    <t>SEZNAM FIGUR</t>
  </si>
  <si>
    <t>Kód:</t>
  </si>
  <si>
    <t>R21-024</t>
  </si>
  <si>
    <t>Náměstí Běchovice</t>
  </si>
  <si>
    <t>Výměra</t>
  </si>
  <si>
    <t xml:space="preserve"> SO 101</t>
  </si>
  <si>
    <t>Komunikace a zpevněné plochy</t>
  </si>
  <si>
    <t>37,410+13,690+52,580+33,930+34,870+12,430</t>
  </si>
  <si>
    <t>Použití figury:</t>
  </si>
  <si>
    <t>Trativod z drenážních trubek korugovaných PE-HD SN 4 perforace 360° včetně lože otevřený výkop DN 150 pro liniové stavby</t>
  </si>
  <si>
    <t>33,490</t>
  </si>
  <si>
    <t>Úprava pláně pro silnice a dálnice na násypech se zhutněním</t>
  </si>
  <si>
    <t>Podklad ze štěrkodrtě ŠD tl 220 mm</t>
  </si>
  <si>
    <t>Asfaltový beton vrstva podkladní ACP 22 (obalované kamenivo OKH) tl 50 mm š do 1,5 m</t>
  </si>
  <si>
    <t>Podklad ze směsi stmelené cementem SC C 8/10 (KSC I) tl 130 mm</t>
  </si>
  <si>
    <t>Postřik živičný infiltrační s posypem z asfaltu množství 1 kg/m2</t>
  </si>
  <si>
    <t>Postřik živičný spojovací z asfaltu v množství 0,30 kg/m2</t>
  </si>
  <si>
    <t>Asfaltový beton vrstva obrusná ACO 11 (ABS) tř. I tl 40 mm š do 3 m z nemodifikovaného asfaltu</t>
  </si>
  <si>
    <t>Asfaltový beton vrstva ložní ACL 16 (ABH) tl 60 mm š do 3 m z nemodifikovaného asfaltu</t>
  </si>
  <si>
    <t>Geotextilie pro ochranu, separaci a filtraci netkaná měrná hmotnost do 500 g/m2</t>
  </si>
  <si>
    <t>Čištění vozovek splachováním vodou</t>
  </si>
  <si>
    <t>0,610+10,020+36,380+38,120</t>
  </si>
  <si>
    <t>Geomříž pro vyztužení stávajícího asfaltového povrchu ze skelných vláken</t>
  </si>
  <si>
    <t>39,490</t>
  </si>
  <si>
    <t>Podklad ze štěrkodrtě ŠD tl 150 mm</t>
  </si>
  <si>
    <t>Podklad ze směsi stmelené cementem SC C 8/10 (KSC I) tl 100 mm</t>
  </si>
  <si>
    <t>Mazanina tl do 240 mm z betonu prostého se zvýšenými nároky na prostředí tř. C 25/30</t>
  </si>
  <si>
    <t>2,340+3,400+15,620</t>
  </si>
  <si>
    <t>Podklad ze štěrkodrtě ŠD tl 30 mm</t>
  </si>
  <si>
    <t>Podklad ze štěrkodrtě ŠD tl 180 mm</t>
  </si>
  <si>
    <t>8,180</t>
  </si>
  <si>
    <t>Dlažba z lomového kamene s provedením lože z kameniva těženého</t>
  </si>
  <si>
    <t>Vyplnění spár dlažby z lomového kamene drobným kamenivem</t>
  </si>
  <si>
    <t>2,840+7,590</t>
  </si>
  <si>
    <t>Osazení vodícího proužku z betonových desek do betonového lože tl do 100 mm š proužku 250 mm</t>
  </si>
  <si>
    <t>259,890+108,780</t>
  </si>
  <si>
    <t>Kladení velkoformátové betonové dlažby tl do 150 mm velikosti do 0,5 m2 pl do 300 m2</t>
  </si>
  <si>
    <t>2,450</t>
  </si>
  <si>
    <t>19,300+44,320</t>
  </si>
  <si>
    <t>Úprava krytu z kameniva drceného pro nový kryt s doplněním kameniva drceného do 0,06 m3/m2</t>
  </si>
  <si>
    <t>Očištění vybouraných zámkových dlaždic s původním spárováním z kameniva těženého</t>
  </si>
  <si>
    <t>18,630+6,120</t>
  </si>
  <si>
    <t>(2,750+3,300)*5,500</t>
  </si>
  <si>
    <t>8,000*5,500*2</t>
  </si>
  <si>
    <t>Kladení dlažby z vegetačních tvárnic pozemních komunikací tl 80 mm do 50 m2</t>
  </si>
  <si>
    <t>3,500*5,500</t>
  </si>
  <si>
    <t>Kladení dlažby z kostek drobných z kamene do lože z kameniva těženého tl 50 mm</t>
  </si>
  <si>
    <t>1087,410+0,790</t>
  </si>
  <si>
    <t>Podklad ze štěrkodrtě ŠD tl 100 mm</t>
  </si>
  <si>
    <t>Podklad ze štěrkodrtě ŠD tl 130 mm</t>
  </si>
  <si>
    <t>22,670</t>
  </si>
  <si>
    <t>1,330</t>
  </si>
  <si>
    <t>10,240</t>
  </si>
  <si>
    <t>1,030</t>
  </si>
  <si>
    <t>Kladení zámkové dlažby komunikací pro pěší tl 60 mm skupiny A pl do 50 m2</t>
  </si>
  <si>
    <t>231,870+191,330+15,930</t>
  </si>
  <si>
    <t>Kladení velkoformátové betonové dlažby tl do 100 mm velikosti do 0,5 m2 pl do 300 m2</t>
  </si>
  <si>
    <t>4,110+6,480</t>
  </si>
  <si>
    <t>2,670+3,720</t>
  </si>
  <si>
    <t>411,880</t>
  </si>
  <si>
    <t>Kladení dlažby z mozaiky jednobarevné komunikací pro pěší lože z kameniva</t>
  </si>
  <si>
    <t>33,230</t>
  </si>
  <si>
    <t>3,960+9,910+4,520+1,310</t>
  </si>
  <si>
    <t>1,830+5,860+2,820+1,310</t>
  </si>
  <si>
    <t>22,340</t>
  </si>
  <si>
    <t>38,360</t>
  </si>
  <si>
    <t>Očištění dlažebních kostek mozaikových kamenivem těženým nebo MV při překopech ing sítí</t>
  </si>
  <si>
    <t>21,400+8,760</t>
  </si>
  <si>
    <t>0,990+7,890</t>
  </si>
  <si>
    <t>0,540+1,620+5,980</t>
  </si>
  <si>
    <t>149,350</t>
  </si>
  <si>
    <t>Zřízení podsypu nebo podkladu ze sypaniny  s rozprostřením, vlhčením, a zhutněním, po zhutnění tl. 350 mm</t>
  </si>
  <si>
    <t>2,920</t>
  </si>
  <si>
    <t>Struktura údajů, formát souboru a metodika pro zpracování</t>
  </si>
  <si>
    <t>Struktura</t>
  </si>
  <si>
    <t>Soubor je složen ze záložky Rekapitulace stavby a záložek s názvem soupisu prací pro jednotlivé objekty ve formátu XLSX. Každá ze záložek přitom obsahuje</t>
  </si>
  <si>
    <t>ještě samostatné sestavy vymezené orámovaním a nadpisem sestavy.</t>
  </si>
  <si>
    <r>
      <rPr>
        <i/>
        <sz val="8"/>
        <rFont val="Arial CE"/>
        <charset val="238"/>
      </rPr>
      <t xml:space="preserve">Rekapitulace stavby </t>
    </r>
    <r>
      <rPr>
        <sz val="8"/>
        <rFont val="Arial CE"/>
        <charset val="238"/>
      </rPr>
      <t>obsahuje sestavu Rekapitulace stavby a Rekapitulace objektů stavby a soupisů prací.</t>
    </r>
  </si>
  <si>
    <r>
      <t xml:space="preserve">V sestavě </t>
    </r>
    <r>
      <rPr>
        <b/>
        <sz val="8"/>
        <rFont val="Arial CE"/>
        <charset val="238"/>
      </rPr>
      <t>Rekapitulace stavby</t>
    </r>
    <r>
      <rPr>
        <sz val="8"/>
        <rFont val="Arial CE"/>
        <charset val="238"/>
      </rPr>
      <t xml:space="preserve"> jsou uvedeny informace identifikující předmět veřejné zakázky na stavební práce, KSO, CC-CZ, CZ-CPV, CZ-CPA a rekapitulaci </t>
    </r>
  </si>
  <si>
    <t>celkové nabídkové ceny uchazeče.</t>
  </si>
  <si>
    <t xml:space="preserve">Termínem "uchazeč" (resp. zhotovitel) se myslí "účastník zadávacího řízení" ve smyslu zákona o zadávání veřejných zakázek. </t>
  </si>
  <si>
    <r>
      <t xml:space="preserve">V sestavě </t>
    </r>
    <r>
      <rPr>
        <b/>
        <sz val="8"/>
        <rFont val="Arial CE"/>
        <charset val="238"/>
      </rPr>
      <t>Rekapitulace objektů stavby a soupisů prací</t>
    </r>
    <r>
      <rPr>
        <sz val="8"/>
        <rFont val="Arial CE"/>
        <charset val="238"/>
      </rPr>
      <t xml:space="preserve"> je uvedena rekapitulace stavebních objektů, inženýrských objektů, provozních souborů,</t>
    </r>
  </si>
  <si>
    <t>vedlejších a ostatních nákladů a ostatních nákladů s rekapitulací nabídkové ceny za jednotlivé soupisy prací. Na základě údaje Typ je možné</t>
  </si>
  <si>
    <t>identifikovat, zda se jedná o objekt nebo soupis prací pro daný objekt:</t>
  </si>
  <si>
    <t>STA</t>
  </si>
  <si>
    <t>Stavební objekt pozemní</t>
  </si>
  <si>
    <t>ING</t>
  </si>
  <si>
    <t>Stavební objekt inženýrský</t>
  </si>
  <si>
    <t>PRO</t>
  </si>
  <si>
    <t>Provozní soubor</t>
  </si>
  <si>
    <t>VON</t>
  </si>
  <si>
    <t>Vedlejší a ostatní náklady</t>
  </si>
  <si>
    <t>OST</t>
  </si>
  <si>
    <t>Ostatní</t>
  </si>
  <si>
    <t>Soupis</t>
  </si>
  <si>
    <t>Soupis prací pro daný typ objektu</t>
  </si>
  <si>
    <r>
      <rPr>
        <i/>
        <sz val="8"/>
        <rFont val="Arial CE"/>
        <charset val="238"/>
      </rPr>
      <t xml:space="preserve">Soupis prací </t>
    </r>
    <r>
      <rPr>
        <sz val="8"/>
        <rFont val="Arial CE"/>
        <charset val="238"/>
      </rPr>
      <t>pro jednotlivé objekty obsahuje sestavy Krycí list soupisu prací, Rekapitulace členění soupisu prací, Soupis prací. Za soupis prací může být považován</t>
    </r>
  </si>
  <si>
    <t>i objekt stavby v případě, že neobsahuje podřízenou zakázku.</t>
  </si>
  <si>
    <r>
      <rPr>
        <b/>
        <sz val="8"/>
        <rFont val="Arial CE"/>
        <charset val="238"/>
      </rPr>
      <t>Krycí list soupisu</t>
    </r>
    <r>
      <rPr>
        <sz val="8"/>
        <rFont val="Arial CE"/>
        <charset val="238"/>
      </rPr>
      <t xml:space="preserve"> obsahuje rekapitulaci informací o předmětu veřejné zakázky ze sestavy Rekapitulace stavby, informaci o zařazení objektu do KSO, </t>
    </r>
  </si>
  <si>
    <t>CC-CZ, CZ-CPV, CZ-CPA a rekapitulaci celkové nabídkové ceny uchazeče za aktuální soupis prací.</t>
  </si>
  <si>
    <r>
      <rPr>
        <b/>
        <sz val="8"/>
        <rFont val="Arial CE"/>
        <charset val="238"/>
      </rPr>
      <t>Rekapitulace členění soupisu prací</t>
    </r>
    <r>
      <rPr>
        <sz val="8"/>
        <rFont val="Arial CE"/>
        <charset val="238"/>
      </rPr>
      <t xml:space="preserve"> obsahuje rekapitulaci soupisu prací ve všech úrovních členění soupisu tak, jak byla tato členění použita (např. </t>
    </r>
  </si>
  <si>
    <t>stavební díly, funkční díly, případně jiné členění) s rekapitulací nabídkové ceny.</t>
  </si>
  <si>
    <r>
      <rPr>
        <b/>
        <sz val="8"/>
        <rFont val="Arial CE"/>
        <charset val="238"/>
      </rPr>
      <t xml:space="preserve">Soupis prací </t>
    </r>
    <r>
      <rPr>
        <sz val="8"/>
        <rFont val="Arial CE"/>
        <charset val="238"/>
      </rPr>
      <t>obsahuje položky veškerých stavebních nebo montážních prací, dodávek materiálů a služeb nezbytných pro zhotovení stavebního objektu,</t>
    </r>
  </si>
  <si>
    <t>inženýrského objektu, provozního souboru, vedlejších a ostatních nákladů.</t>
  </si>
  <si>
    <t>Pro položky soupisu prací se zobrazují následující informace:</t>
  </si>
  <si>
    <t>Pořadové číslo položky v aktuálním soupisu</t>
  </si>
  <si>
    <t>TYP</t>
  </si>
  <si>
    <t>Typ položky: K - konstrukce, M - materiál, PP - plný popis, PSC - poznámka k souboru cen,  P - poznámka k položce, VV - výkaz výměr</t>
  </si>
  <si>
    <t>Kód položky</t>
  </si>
  <si>
    <t>Zkrácený popis položky</t>
  </si>
  <si>
    <t>Měrná jednotka položky</t>
  </si>
  <si>
    <t>Množství v měrné jednotce</t>
  </si>
  <si>
    <t>J.cena</t>
  </si>
  <si>
    <t xml:space="preserve">Jednotková cena položky. Zadaní může obsahovat namísto J.ceny sloupce J.materiál a J.montáž, jejichž součet definuje </t>
  </si>
  <si>
    <t>J.cenu položky.</t>
  </si>
  <si>
    <t xml:space="preserve">Cena celkem </t>
  </si>
  <si>
    <t>Celková cena položky daná jako součin množství a j.ceny</t>
  </si>
  <si>
    <t>Příslušnost položky do cenové soustavy</t>
  </si>
  <si>
    <t>Ke každé položce soupisu prací se na samostatných řádcích může zobrazovat:</t>
  </si>
  <si>
    <t>Plný popis položky</t>
  </si>
  <si>
    <t>Poznámka k souboru cen a poznámka zadavatele</t>
  </si>
  <si>
    <t>Výkaz výměr</t>
  </si>
  <si>
    <t>Pokud je k řádku výkazu výměr evidovaný údaj ve sloupci Kód, jedná se o definovaný odkaz, na který se může odvolávat výkaz výměr z jiné položky.</t>
  </si>
  <si>
    <t xml:space="preserve">Metodika pro zpracování </t>
  </si>
  <si>
    <t>Jednotlivé sestavy jsou v souboru provázány. Editovatelné pole jsou zvýrazněny žlutým podbarvením, ostatní pole neslouží k editaci a nesmí být jakkoliv</t>
  </si>
  <si>
    <t>modifikovány.</t>
  </si>
  <si>
    <t xml:space="preserve">Uchazeč je pro podání nabídky povinen vyplnit žlutě podbarvená pole: </t>
  </si>
  <si>
    <t xml:space="preserve">Pole Uchazeč v sestavě Rekapitulace stavby - zde uchazeč vyplní svůj název (název subjektu) </t>
  </si>
  <si>
    <t>Pole IČ a DIČ v sestavě Rekapitulace stavby - zde uchazeč vyplní svoje IČ a DIČ</t>
  </si>
  <si>
    <t>Datum v sestavě Rekapitulace stavby - zde uchazeč vyplní datum vytvoření nabídky</t>
  </si>
  <si>
    <t>J.cena = jednotková cena v sestavě Soupis prací o maximálním počtu desetinných míst uvedených v poli</t>
  </si>
  <si>
    <t>- pokud sestavy soupisů prací obsahují pole J.cena, měla by být všechna tato pole vyplněna nenulovými</t>
  </si>
  <si>
    <t>Poznámka - nepovinný údaj pro položku soupisu</t>
  </si>
  <si>
    <t>V případě, že sestavy soupisů prací neobsahují pole J.cena, potom ve všech soupisech prací obsahují pole:</t>
  </si>
  <si>
    <t xml:space="preserve"> - J.materiál - jednotková cena materiálu </t>
  </si>
  <si>
    <t xml:space="preserve"> - J.montáž - jednotková cena montáže</t>
  </si>
  <si>
    <t>Uchazeč v tomto případě by měl vyplnit všechna pole J.materiál a pole J.montáž nenulovými kladnými číslicemi. V případech, kdy položka</t>
  </si>
  <si>
    <t>neobsahuje žádný materiál je přípustné, aby pole J.materiál bylo vyplněno nulou. V případech, kdy položka neobsahuje žádnou montáž je přípustné,</t>
  </si>
  <si>
    <t>aby pole J.montáž bylo vyplněno nulou. Obě pole - J.materiál, J.Montáž u jedné položky by však neměly být vyplněny nulou.</t>
  </si>
  <si>
    <t>Rekapitulace stavby</t>
  </si>
  <si>
    <t>Název</t>
  </si>
  <si>
    <t>Povinný</t>
  </si>
  <si>
    <t>Max. počet</t>
  </si>
  <si>
    <t>atributu</t>
  </si>
  <si>
    <t>(A/N)</t>
  </si>
  <si>
    <t>znaků</t>
  </si>
  <si>
    <t>A</t>
  </si>
  <si>
    <t>Kód stavby</t>
  </si>
  <si>
    <t>String</t>
  </si>
  <si>
    <t>Stavba</t>
  </si>
  <si>
    <t>Název stavby</t>
  </si>
  <si>
    <t>Místo</t>
  </si>
  <si>
    <t>N</t>
  </si>
  <si>
    <t>Místo stavby</t>
  </si>
  <si>
    <t>Datum</t>
  </si>
  <si>
    <t>Datum vykonaného exportu</t>
  </si>
  <si>
    <t>Date</t>
  </si>
  <si>
    <t>KSO</t>
  </si>
  <si>
    <t>Klasifikace stavebního objektu</t>
  </si>
  <si>
    <t>CC-CZ</t>
  </si>
  <si>
    <t>Klasifikace stavbeních děl</t>
  </si>
  <si>
    <t>CZ-CPV</t>
  </si>
  <si>
    <t>Společný slovník pro veřejné zakázky</t>
  </si>
  <si>
    <t>CZ-CPA</t>
  </si>
  <si>
    <t>Klasifikace produkce podle činností</t>
  </si>
  <si>
    <t>Zadavatel</t>
  </si>
  <si>
    <t>Zadavatel zadaní</t>
  </si>
  <si>
    <t>IČ</t>
  </si>
  <si>
    <t>IČ zadavatele zadaní</t>
  </si>
  <si>
    <t>DIČ</t>
  </si>
  <si>
    <t>DIČ zadavatele zadaní</t>
  </si>
  <si>
    <t>Uchazeč</t>
  </si>
  <si>
    <t>Uchazeč veřejné zakázky</t>
  </si>
  <si>
    <t>Projektant</t>
  </si>
  <si>
    <t>Poznámka</t>
  </si>
  <si>
    <t>Poznámka k zadání</t>
  </si>
  <si>
    <t>Sazba DPH</t>
  </si>
  <si>
    <t>Rekapitulace sazeb DPH u položek soupisů</t>
  </si>
  <si>
    <t>eGSazbaDph</t>
  </si>
  <si>
    <t>Základna DPH</t>
  </si>
  <si>
    <t>Základna DPH určena součtem celkové ceny z položek soupisů</t>
  </si>
  <si>
    <t>Double</t>
  </si>
  <si>
    <t>Hodnota DPH</t>
  </si>
  <si>
    <t>Celková cena bez DPH za celou stavbu. Sčítává se ze všech listů.</t>
  </si>
  <si>
    <t>Celková cena s DPH za celou stavbu</t>
  </si>
  <si>
    <t>Rekapitulace objektů stavby a soupisů prací</t>
  </si>
  <si>
    <t>Přebírá se z Rekapitulace stavby</t>
  </si>
  <si>
    <t>Kód objektu</t>
  </si>
  <si>
    <t>Objektu, Soupis prací</t>
  </si>
  <si>
    <t>Název objektu</t>
  </si>
  <si>
    <t>Cena bez DPH za daný objekt</t>
  </si>
  <si>
    <t>Cena spolu s DPH za daný objekt</t>
  </si>
  <si>
    <t>Typ zakázky</t>
  </si>
  <si>
    <t>eGTypZakazky</t>
  </si>
  <si>
    <t>Krycí list soupisu</t>
  </si>
  <si>
    <t>Objekt</t>
  </si>
  <si>
    <t>Kód a název objektu</t>
  </si>
  <si>
    <t>20 + 120</t>
  </si>
  <si>
    <t>Kód a název soupisu</t>
  </si>
  <si>
    <t>Poznámka k soupisu prací</t>
  </si>
  <si>
    <t>Rekapitulace sazeb DPH na položkách aktuálního soupisu</t>
  </si>
  <si>
    <t>Základna DPH určena součtem celkové ceny z položek aktuálního soupisu</t>
  </si>
  <si>
    <t>Cena bez DPH za daný soupis</t>
  </si>
  <si>
    <t>Cena s DPH</t>
  </si>
  <si>
    <t>Cena s DPH za daný soupis</t>
  </si>
  <si>
    <t>Rekapitulace členění soupisu prací</t>
  </si>
  <si>
    <t>Kód a název objektu, přebírá se z Krycího listu soupisu</t>
  </si>
  <si>
    <t>Kód a název objektu, přebírá se z Krycího listu soupisu</t>
  </si>
  <si>
    <t>Kód a název dílu ze soupisu</t>
  </si>
  <si>
    <t>20 + 100</t>
  </si>
  <si>
    <t>Cena celkem</t>
  </si>
  <si>
    <t>Cena celkem za díl ze soupisu</t>
  </si>
  <si>
    <t>Soupis prací</t>
  </si>
  <si>
    <t>Přebírá se z Krycího listu soupisu</t>
  </si>
  <si>
    <t>Pořadové číslo položky soupisu</t>
  </si>
  <si>
    <t>Long</t>
  </si>
  <si>
    <t>Typ položky soupisu</t>
  </si>
  <si>
    <t>eGTypPolozky</t>
  </si>
  <si>
    <t>Kód položky ze soupisu</t>
  </si>
  <si>
    <t>Popis položky ze soupisu</t>
  </si>
  <si>
    <t>Množství položky soupisu</t>
  </si>
  <si>
    <t>J.Cena</t>
  </si>
  <si>
    <t>Jednotková cena položky</t>
  </si>
  <si>
    <t>Cena celkem vyčíslena jako J.Cena * Množství</t>
  </si>
  <si>
    <t>Zařazení položky do cenové soustavy</t>
  </si>
  <si>
    <t>p</t>
  </si>
  <si>
    <t>Poznámka položky ze soupisu</t>
  </si>
  <si>
    <t>Memo</t>
  </si>
  <si>
    <t>psc</t>
  </si>
  <si>
    <t>Poznámka k souboru cen ze soupisu</t>
  </si>
  <si>
    <t>pp</t>
  </si>
  <si>
    <t>Plný popis položky ze soupisu</t>
  </si>
  <si>
    <t>vv</t>
  </si>
  <si>
    <t>Výkaz výměr (figura, výraz, výměra) ze soupisu</t>
  </si>
  <si>
    <t>Text,Text,Double</t>
  </si>
  <si>
    <t>20, 150</t>
  </si>
  <si>
    <t>Sazba DPH pro položku</t>
  </si>
  <si>
    <t>eGSazbaDPH</t>
  </si>
  <si>
    <t>Hmotnost</t>
  </si>
  <si>
    <t>Hmotnost položky ze soupisu</t>
  </si>
  <si>
    <t>Suť</t>
  </si>
  <si>
    <t>Suť položky ze soupisu</t>
  </si>
  <si>
    <t>Nh</t>
  </si>
  <si>
    <t>Normohodiny položky ze soupisu</t>
  </si>
  <si>
    <t>Datová věta</t>
  </si>
  <si>
    <t>Typ věty</t>
  </si>
  <si>
    <t>Hodnota</t>
  </si>
  <si>
    <t>Význam</t>
  </si>
  <si>
    <t>Základní sazba DPH</t>
  </si>
  <si>
    <t>Snížená sazba DPH</t>
  </si>
  <si>
    <t>Nulová sazba DPH</t>
  </si>
  <si>
    <t>Základní sazba DPH přenesená</t>
  </si>
  <si>
    <t>Snížená sazba DPH přenesená</t>
  </si>
  <si>
    <t>Stavební objekt</t>
  </si>
  <si>
    <t>Inženýrský objekt</t>
  </si>
  <si>
    <t>Ostatní náklady</t>
  </si>
  <si>
    <t>Položka typu HSV</t>
  </si>
  <si>
    <t>Položka typu PSV</t>
  </si>
  <si>
    <t>Položka typu M</t>
  </si>
  <si>
    <t>Položka typu OST</t>
  </si>
  <si>
    <t>Pol.</t>
  </si>
  <si>
    <t>Zařízení</t>
  </si>
  <si>
    <t>Počet</t>
  </si>
  <si>
    <t>Cena jed.</t>
  </si>
  <si>
    <t>I. Technologie úpravny vody</t>
  </si>
  <si>
    <t>1.1</t>
  </si>
  <si>
    <t>Pískový jednovrstvý laminátový filtr; Ø500 mm, ovzduš. a vypouštěcí ventil</t>
  </si>
  <si>
    <t>1.2</t>
  </si>
  <si>
    <t>Ventil filtrace šesticestný G6/4" - automatický - časové řízení + tlakové řízení, umístění horní, napájení: 230 V AC/50 Hz - horní umístění</t>
  </si>
  <si>
    <t>Písková náplň - hrubý písek, frakce 1-2mm</t>
  </si>
  <si>
    <t>Písková náplň - jemný písek, frakce 0,4-0,8mm</t>
  </si>
  <si>
    <t>1.3</t>
  </si>
  <si>
    <t>Čerpadlo filtrace horizontální s předfiltrem plast Q=6,0m³/hod, H=10m, P=0,25kW, U=230V - horizontální provedení; materiál: tělo plast , oběžné kolo plast, hřídel nerez ocel, ucpávka keramická, síto PP; krytí IP55; 2-pólový asynchronní motor, 50 Hz (n = 2850 rpm); třída izolace F</t>
  </si>
  <si>
    <t>1.4</t>
  </si>
  <si>
    <t>UV reaktor nízkotlaký, P=0,11kW, U=230V</t>
  </si>
  <si>
    <t>1.5</t>
  </si>
  <si>
    <t>Regulátor chemického hospodářství - měření pH a ORP; integrovaná čerpadla; průtok čerpadla: 1,5 l/h; maximální zpětný tlak: 1,5 barů; napěťový signál: 100–240 V AC, 2x vstup pro hladinovou sondu; krytí IP65; napájení: 230 V AC/50 Hz</t>
  </si>
  <si>
    <t>1.6</t>
  </si>
  <si>
    <t>Zásobník dezinfikant - 20l</t>
  </si>
  <si>
    <t>1.7</t>
  </si>
  <si>
    <t>Zásobník pH korektor - 20l</t>
  </si>
  <si>
    <t>1.8</t>
  </si>
  <si>
    <t>Záchytná vana pro zásobník</t>
  </si>
  <si>
    <t>1.9</t>
  </si>
  <si>
    <t>Akumulační nádrž 2,83 x 1,73 x 1,45m - PP svařenec, vevařená dopadová komora s úchyty pro síto</t>
  </si>
  <si>
    <t>1.10</t>
  </si>
  <si>
    <t>Vodoměr vodní prvek napouštění G 1'', DN20, Q3 2,5; montáž do horizontální polohy</t>
  </si>
  <si>
    <t>1.11</t>
  </si>
  <si>
    <t>Zachycovač mechanických nečistot DN25 - manuální</t>
  </si>
  <si>
    <t>1.12</t>
  </si>
  <si>
    <t>Ventil s el. pohonem G 1'', P=15W, U=230V</t>
  </si>
  <si>
    <t>1.13</t>
  </si>
  <si>
    <t>Kalové čerpadlo (kalník) Q=10,2m³/hod, H=4m, P=0,7kW, U=230V - nerez materiál, ponorné</t>
  </si>
  <si>
    <t>1.14</t>
  </si>
  <si>
    <t>Kalové čerpadlo (akumulační nádrž) Q=10,2m³/hod, H=4m, P=0,7kW, U=230V - nerez materiál, ponorné</t>
  </si>
  <si>
    <t>Mezisoučet technologie úpravny vody</t>
  </si>
  <si>
    <t>II. Okruh potok</t>
  </si>
  <si>
    <t>1.15</t>
  </si>
  <si>
    <t>Čerpadlo potoka - Q=54,8m³/hod, H=11,3m, P=3,0kW, U=230/400V - horizontální provedení; materiál: tělo litina, oběžné kolo litina, hřídel nerez ocel, ucpávka uhlík - keramika - NBR; krytí IP54; 4-pólový asynchronní motor, 50 Hz (n=1450 rpm); třída izolace F</t>
  </si>
  <si>
    <t>1.16</t>
  </si>
  <si>
    <t>Zachycovač mechanických nečistot DN150 , 60l</t>
  </si>
  <si>
    <t>Mezisoučet potok</t>
  </si>
  <si>
    <t>III. Osvětlení</t>
  </si>
  <si>
    <t>1.17</t>
  </si>
  <si>
    <t>LED pásek IP68 WW, 2700K, nerezové pouzdro, l=400mm</t>
  </si>
  <si>
    <t>1.18</t>
  </si>
  <si>
    <t>LED pásek IP68 RGB, 4000K, nerezové pouzdro, l=400mm</t>
  </si>
  <si>
    <t>Kontroler RGB - pevně nastavené programy</t>
  </si>
  <si>
    <t>Mezisoučet osvětlení</t>
  </si>
  <si>
    <t>IV. Zámečnické konstrukce</t>
  </si>
  <si>
    <t>1.19</t>
  </si>
  <si>
    <t>Nerezový prostup DN25 - elektro LED - potok, mat. 1.4301</t>
  </si>
  <si>
    <t>1.20</t>
  </si>
  <si>
    <t>Nerezový prostup DN80 - plnění - běžec, mat. 1.4301</t>
  </si>
  <si>
    <t>1.21</t>
  </si>
  <si>
    <t>Nerezový prostup DN100 - plnění - potok, mat. 1.4301</t>
  </si>
  <si>
    <t>1.22</t>
  </si>
  <si>
    <t>Nerezový prostup DN200 - vratka (odbočka)- strojovna, mat. 1.4301</t>
  </si>
  <si>
    <t>1.23</t>
  </si>
  <si>
    <t>Nerezový prostup DN200 - vratka (koncovka)- strojovna, mat. 1.4301</t>
  </si>
  <si>
    <t>1.24</t>
  </si>
  <si>
    <t>Nerezový šachtový přeliv 600x450/DN200 - potok, mat. 1.4301</t>
  </si>
  <si>
    <t>1.25</t>
  </si>
  <si>
    <t>Nerezový pororošt plnění - potok, mat. 1.4301</t>
  </si>
  <si>
    <t>1.26</t>
  </si>
  <si>
    <t>Nerezový pororošt šachtového přelivu 590x440mm - potok, mat. 1.4301</t>
  </si>
  <si>
    <t>1.27</t>
  </si>
  <si>
    <t>Nerezový pororošt kalníku 490x490mm - strojovna, mat. 1.4301</t>
  </si>
  <si>
    <t>1.28</t>
  </si>
  <si>
    <t>Nerezové síto 740x600mm - AN - oka 10mm, mat. 1.4301</t>
  </si>
  <si>
    <t>1.29</t>
  </si>
  <si>
    <r>
      <t xml:space="preserve">Nerezový sací koš DN150 - oka 4mm, </t>
    </r>
    <r>
      <rPr>
        <sz val="12"/>
        <rFont val="Calibri"/>
        <family val="2"/>
        <charset val="238"/>
      </rPr>
      <t>Ø</t>
    </r>
    <r>
      <rPr>
        <sz val="12"/>
        <rFont val="Arial Narrow"/>
        <family val="2"/>
        <charset val="238"/>
      </rPr>
      <t>250mm, l=250mm, mat. 1.4301</t>
    </r>
  </si>
  <si>
    <t>1.30</t>
  </si>
  <si>
    <t>Nerezový sací koš DN40 - oka 4mm, Ø250mm, l=250mm, mat. 1.4301</t>
  </si>
  <si>
    <t>1.31</t>
  </si>
  <si>
    <t>Nerezový kotvící profil pororoštu plnění, mat. 1.4301</t>
  </si>
  <si>
    <t>1.32</t>
  </si>
  <si>
    <t>Nerezové potrubí DN80 - noha běžce (vnitřní rozvod), mat. 1.4301</t>
  </si>
  <si>
    <t>1.33</t>
  </si>
  <si>
    <t>Nerezové prostup DN125 - LED - strojovna, mat. 1.4302</t>
  </si>
  <si>
    <t>Mezisoučet záměčnické konstrukce</t>
  </si>
  <si>
    <t>V.   Instalační materiál</t>
  </si>
  <si>
    <t>Potrubí PVC-U  PN 10, DN 25 vč. fitinek, spojovacího materiálu, kotevního a pomocného materiálu</t>
  </si>
  <si>
    <t>Potrubí PVC-U  PN 10, DN 40 vč. fitinek, spojovacího materiálu, kotevního a pomocného materiálu</t>
  </si>
  <si>
    <t>Potrubí PVC-U  PN 10, DN 50 vč. fitinek, spojovacího materiálu, kotevního a pomocného materiálu</t>
  </si>
  <si>
    <t>Potrubí PVC-U  PN 10, DN 80 vč. fitinek, spojovacího materiálu, kotevního a pomocného materiálu</t>
  </si>
  <si>
    <t>Potrubí PVC-U  PN 10, DN 100 vč. fitinek, spojovacího materiálu, kotevního a pomocného materiálu</t>
  </si>
  <si>
    <t>Potrubí PVC-U  PN 10, DN 150 vč. fitinek, spojovacího materiálu, kotevního a pomocného materiálu</t>
  </si>
  <si>
    <t>Potrubí KG, DN 100 vč. fitinek, spojovacího materiálu, kotevního a pomocného materiálu</t>
  </si>
  <si>
    <t>Potrubí HDPE DN25 - chránička světel</t>
  </si>
  <si>
    <t>Izolace PE DN80</t>
  </si>
  <si>
    <t>Izolace PE DN100</t>
  </si>
  <si>
    <t>Kulový kohout PVC-U DN25</t>
  </si>
  <si>
    <t>Kulový kohout PVC-U DN40</t>
  </si>
  <si>
    <t>Šoupě mezipřírubové DN80</t>
  </si>
  <si>
    <t>Šoupě mezipřírubové DN100</t>
  </si>
  <si>
    <t>Šoupě mezipřírubové DN200</t>
  </si>
  <si>
    <t>Klapka mezipřírubová uzavírací PVC-U DN100</t>
  </si>
  <si>
    <t>Klapka mezipřírubová uzavírací PVC-U DN150</t>
  </si>
  <si>
    <t>Zpětný ventil PVC-U DN25</t>
  </si>
  <si>
    <t>Zpětný ventil PVC-U DN40</t>
  </si>
  <si>
    <t>Zpětná klapka kulová litina DN 40 (kalová čerpadla)</t>
  </si>
  <si>
    <t>Zpětná klapka mezipřírubová DN80</t>
  </si>
  <si>
    <t>Zpětná klapka mezipřírubová DN100</t>
  </si>
  <si>
    <t>Lepidlo pro PVC potrubí tlakové 1kg</t>
  </si>
  <si>
    <t>Čistič pro PVC potrubí tlakové 1l</t>
  </si>
  <si>
    <t>Protizápachový sifon DN 100 KG s čistícími otvory a ovzdušněním</t>
  </si>
  <si>
    <t xml:space="preserve">Automatická zpětná armatura proti vzduté vodě DN110 </t>
  </si>
  <si>
    <t>Pomocné konstrukce - kotvení</t>
  </si>
  <si>
    <t>Drobný materiál do DN25</t>
  </si>
  <si>
    <t>Mezisoučet instalační materiál</t>
  </si>
  <si>
    <t>VI.   Montáž, doprava, ostatní</t>
  </si>
  <si>
    <t xml:space="preserve">Tlakové zkoušky </t>
  </si>
  <si>
    <t xml:space="preserve">Montáž technologie </t>
  </si>
  <si>
    <t>Doprava materiálu a osob</t>
  </si>
  <si>
    <t>Návod pro obsluhu a údržbu</t>
  </si>
  <si>
    <t>Uvedení do provozu zašk. obsluhy</t>
  </si>
  <si>
    <t>VRN</t>
  </si>
  <si>
    <t>Mezisoučet montáž, doprava, ostatní</t>
  </si>
  <si>
    <t>Cena celkem bez DPH</t>
  </si>
  <si>
    <t xml:space="preserve"> DPH 21%</t>
  </si>
  <si>
    <t>Cena celkem s DPH</t>
  </si>
  <si>
    <t>I.   Elektroinstalace</t>
  </si>
  <si>
    <t>I.Elektrotechnologie</t>
  </si>
  <si>
    <t xml:space="preserve">ROZVODNICE </t>
  </si>
  <si>
    <t>Rozvodnice 800x600x230 + motážní deska IP65</t>
  </si>
  <si>
    <t>PG11------ Vývodka PG11 s maticí</t>
  </si>
  <si>
    <t>PG13,5---- Vývodka PG13,5 s maticí</t>
  </si>
  <si>
    <t>PG21------ Vývodka PG21 s maticí</t>
  </si>
  <si>
    <t>VODIČ JEDNOŽILOVÝ OHEBNÝ (CYA)</t>
  </si>
  <si>
    <t>H05V-K 1   mm2 , pevně</t>
  </si>
  <si>
    <t>H07V-K 2.5 mm2 , pevně</t>
  </si>
  <si>
    <t>SONDY k HLADINOVÉMU RELÉ</t>
  </si>
  <si>
    <t>SHR-2 hladinová sonda - nerezová elektroda uložená v PVC krytu</t>
  </si>
  <si>
    <t>B6/1 Jistič , char B, 1-pólový</t>
  </si>
  <si>
    <t>APN-32-3 Páčkový spínač</t>
  </si>
  <si>
    <t>Ks</t>
  </si>
  <si>
    <t>B10/1 , char B, 1-pólový</t>
  </si>
  <si>
    <t>MS 10A , 3-pólový</t>
  </si>
  <si>
    <t>40-20-A230 Instalační stykač</t>
  </si>
  <si>
    <t>20-20-A230 Instalační stykač</t>
  </si>
  <si>
    <t>40/4/003 Chránič Ir=250A, typ A/G, 4-pól</t>
  </si>
  <si>
    <t>BO668610-- Jistič s chráničem B10/003/A</t>
  </si>
  <si>
    <t>ST315 230V/24V DC,63VA</t>
  </si>
  <si>
    <t>BZ325001-A Zásuvka ČSN,230V/16A,na DIN lištu</t>
  </si>
  <si>
    <t>HLADINOVÉ RELÉ</t>
  </si>
  <si>
    <t>1/230 hlídací hladiny s 1stavovým. i 2stav. hlídáním,hlídání ve dvou nezávislých nádržíchnastav.citlivost i čas.prodleva,měřící frekv. 50Hz</t>
  </si>
  <si>
    <t>Frekvenční měnič 3,00kW 3-fázový</t>
  </si>
  <si>
    <t>SVORKOVNICE KRABICOVÁ</t>
  </si>
  <si>
    <t>273-102 4x1-2,5mm2</t>
  </si>
  <si>
    <t>273-105 5x1-2,5mm2</t>
  </si>
  <si>
    <t>ŠNŮRA STŘEDNÍ PRYŽOVÁ</t>
  </si>
  <si>
    <t>H07RN-F-G 4x2.5 mm2 , pevně</t>
  </si>
  <si>
    <t>KABEL SILOVÝ,IZOLACE PVC S VODIČEM PE</t>
  </si>
  <si>
    <t>CYKY-J 3x1.5 mm2 , pevně</t>
  </si>
  <si>
    <t>CYKY-J 3x2.5 mm2 , pevně</t>
  </si>
  <si>
    <t>CMFM 4x2.5 mm2 , pevně</t>
  </si>
  <si>
    <t>OHEBNÁ CHRÁNIČKA KOPOFLEX</t>
  </si>
  <si>
    <t>KF09040 světlost 32mm</t>
  </si>
  <si>
    <t>DK-KABELOVÉ KRABICOVÉ ROZVODKY IP 65</t>
  </si>
  <si>
    <t>KF 8500 210x310x117, bez svorkovnice</t>
  </si>
  <si>
    <t>ZÁSUVKA NN, PRAKTIK IP 44 (PLAST)</t>
  </si>
  <si>
    <t>5518-2929 B Zásuvka jednonásobná IP 44, s ochranným kolíkem, s víčkem; d. Praktik; b. bílá</t>
  </si>
  <si>
    <t>5518-2029 B Zásuvka dvojnásobná IP 44, s ochrannými kolíky, s víčky; d. Praktik; b. bílá</t>
  </si>
  <si>
    <t>LV 24X22 LIŠTA VKLÁDACÍ (2m v kartonu)</t>
  </si>
  <si>
    <t>LH 40X40 LIŠTA HRANATÁ (2m v kartonu) - DVOJ. ZÁMEK</t>
  </si>
  <si>
    <t>SKP-100/B KRUH IP44  bílá  230V 100W/E27</t>
  </si>
  <si>
    <t>SPÍNAČ, PŘEPÍNAČ, PRAKTIK IP 44 (PLAST)</t>
  </si>
  <si>
    <t>3558-01929 B Spínač jednopólový IP 44; řazení 1; d. Praktik; b. bílá</t>
  </si>
  <si>
    <t>ŠŇŮRA PVC</t>
  </si>
  <si>
    <t>H05VV-F-G 5x1 mm2 , pevně</t>
  </si>
  <si>
    <t>H05VV-F-G 3x1 mm2 , pevně</t>
  </si>
  <si>
    <t>VODIČ JEDNOŽILOVÝ, IZOLACE PVC</t>
  </si>
  <si>
    <t>CY 4 , pevně</t>
  </si>
  <si>
    <t>CY 16 , pevně</t>
  </si>
  <si>
    <t>A11       Krabice odbočná plastová, šedá, prázdná, IP 54,12 otv.</t>
  </si>
  <si>
    <t>OSAZENÍ HMOŽDINKY DO MĚKKÝCH STAVEBNÍCH MATERIÁLŮ</t>
  </si>
  <si>
    <t>HL6</t>
  </si>
  <si>
    <t>Podružný materiál</t>
  </si>
  <si>
    <t>Mezisoučet elektroinstalace</t>
  </si>
  <si>
    <t>II.Montáže, doprava, ostatní náklady</t>
  </si>
  <si>
    <t>Montážní práce</t>
  </si>
  <si>
    <t>Zkoušky a prohlídky elektrických rozvodů a zařízení celková prohlídka a vyhotovení revizní zprávy pro objem montážních prací do 100 tis. Kč</t>
  </si>
  <si>
    <t>Dopravné</t>
  </si>
  <si>
    <t>Kompletační práce</t>
  </si>
  <si>
    <t>Revize</t>
  </si>
  <si>
    <t>Vedlejší náklady</t>
  </si>
  <si>
    <t>Mezisoučet ostatní náklady a dopravy</t>
  </si>
  <si>
    <t>akce:</t>
  </si>
  <si>
    <t xml:space="preserve">investor : </t>
  </si>
  <si>
    <t xml:space="preserve">zpracoval: </t>
  </si>
  <si>
    <t>datum:</t>
  </si>
  <si>
    <t xml:space="preserve">souhrnné poznámky: </t>
  </si>
  <si>
    <t>Jako číslo položky URS je uváděna obsahově nejbližší položka, přesná specifikace technologie je obsahem technické zprávy projektu, část „Popis technologií“</t>
  </si>
  <si>
    <t>Nespecifické výdaje (zařízení staveniště, koordinace dílčích dodávek, dočasné vymezení prostoru stavby, likvidace drobného odpadu a obalového materiálu….) jsou součástí jednotkových cen</t>
  </si>
  <si>
    <t xml:space="preserve">Neopominutelným podkladem  pro ocenění je projektová dokumentace. Při oceňování díla stavební firmou je nadřazena výkresová část a TZ nad výkaz výměr a rozpočet. Zhotovitel díla odpovídá za to, že provedl </t>
  </si>
  <si>
    <t xml:space="preserve">kontrolu kompletnosti seznamu operací  ve výkazu výměr a do své nabídky zahrnul veškeré položky a práce nutné k provedení díla a kolaudace. </t>
  </si>
  <si>
    <t>Fakturováno bude podle skutečně provedených výměr.  V jednotkových cenách jsou zahrnuty náklady na spojovací materiál potřebný ke kompletní montáži /hmoždinky,kotvy,svary atd./</t>
  </si>
  <si>
    <t>žlutě podbarvené buňky jsou dílčí operace , která skládají bilancovanou technologii</t>
  </si>
  <si>
    <t>oranžově podbarvené buňky jsou určené k editaci (doplnění hodnot)</t>
  </si>
  <si>
    <t>cena za objekt (součet dílčích položek):</t>
  </si>
  <si>
    <t xml:space="preserve">díl: </t>
  </si>
  <si>
    <t xml:space="preserve"> Kč</t>
  </si>
  <si>
    <t>klasifi kace</t>
  </si>
  <si>
    <t>číslo položky</t>
  </si>
  <si>
    <t>technologie</t>
  </si>
  <si>
    <t>položka</t>
  </si>
  <si>
    <t>počet/ koeficient položky pro technologii</t>
  </si>
  <si>
    <t>m.j.</t>
  </si>
  <si>
    <t>cena/m.j. (Kč)</t>
  </si>
  <si>
    <t>cena za položku v rámci  techno logie (Kč)</t>
  </si>
  <si>
    <t>cena za položku (Kč)</t>
  </si>
  <si>
    <t>komentář/ dílčí výpočet</t>
  </si>
  <si>
    <t>výsadba soliterních stromů vel. 16-18
výpočet: +1+	1+1+4+2+4+2+4</t>
  </si>
  <si>
    <t xml:space="preserve">Hloubení jamky 250L s 50% výměnou půdy, dodání dřevin - školkařské výpěstky vel 16-18, stromy s balem, výsadba dřevin s balem,  tříbodové kotvení (kůly min 2 m délky, prům. 6 cm, příčky 50 cm, úvazku podložené jutou), ochrana kmene rákosovou rohoží výšky min 150 cm), zásobní hnojení s dlouhodobou účinností, zahrnutí 50 g/ strom (ref. Silvamix), vytvoření stromové mísy, zálivka, mulč  stromové mísy 10cm; komparativní řez </t>
  </si>
  <si>
    <t>hloubení jamek 0,125-0,40 m3 s 50% výměnou půdy půdy v rovině</t>
  </si>
  <si>
    <t>dodání ornice (0,15m3/strom)</t>
  </si>
  <si>
    <t>výsadba dřeviny s balem 50-60 cm v rovině</t>
  </si>
  <si>
    <t>dodání stromů (školkařské výpěstky s balem vel. 14-16)</t>
  </si>
  <si>
    <r>
      <rPr>
        <sz val="10"/>
        <rFont val="Arial"/>
        <family val="2"/>
        <charset val="1"/>
      </rPr>
      <t xml:space="preserve">rostlinný materiál za technologii </t>
    </r>
    <r>
      <rPr>
        <sz val="10"/>
        <rFont val="Arial CE"/>
        <charset val="238"/>
      </rPr>
      <t>celkem</t>
    </r>
    <r>
      <rPr>
        <sz val="10"/>
        <rFont val="Arial"/>
        <family val="2"/>
        <charset val="1"/>
      </rPr>
      <t>: 
ApG: Acer platanoides ' Globosum' 3ks
GtS: Gleditsia triacanthos 'Sunburst' 10ks
Kp: Koeleuteria paniculata 2ks
Ph: Platanus x hispanica 4ks</t>
    </r>
  </si>
  <si>
    <t>hnojení minerálním hnojivem 40g/ks k vysazovaným rostlinám  v rovině</t>
  </si>
  <si>
    <t>dodání dlouhodobě působícího hnojiva (ref Silvamix)</t>
  </si>
  <si>
    <t>ukotvení dřeviny 3mi kůly 2-3m</t>
  </si>
  <si>
    <t>dodání kůlů a příček</t>
  </si>
  <si>
    <t>sada</t>
  </si>
  <si>
    <t>kůly 2,5m</t>
  </si>
  <si>
    <t>zhotovení obalu kmene z rákosové rohože v rovině</t>
  </si>
  <si>
    <t xml:space="preserve">rohož 1,5 m výšky, rozvinutá délka do 45 cm </t>
  </si>
  <si>
    <t>dodání rákosové rohože ke krytí kmene</t>
  </si>
  <si>
    <t>zhotovení závlahové mísy přes 1m u soliterních dřevin v rovině</t>
  </si>
  <si>
    <t>mulčování borkou nebo štěpkou do 100mm</t>
  </si>
  <si>
    <t>dodání štěpky</t>
  </si>
  <si>
    <t>ošetření vysazených dřevin</t>
  </si>
  <si>
    <r>
      <rPr>
        <b/>
        <sz val="10"/>
        <rFont val="Arial"/>
        <family val="2"/>
        <charset val="1"/>
      </rPr>
      <t xml:space="preserve">rozvojová péče o výsadbu stromů  3 roky
</t>
    </r>
    <r>
      <rPr>
        <b/>
        <sz val="10"/>
        <rFont val="Arial"/>
        <family val="2"/>
        <charset val="238"/>
      </rPr>
      <t xml:space="preserve">
</t>
    </r>
  </si>
  <si>
    <t>v prvním roce:  odplevelení stromové mísy 1x, zavlažování 16 x (50L), oprava poškozených  úvazků a bandážování kmene; v druhém roce:  zálivka 12 x (50L), ve třetím roce: zálivka 6 x (50L), odstranění opěr a bandážování kmene</t>
  </si>
  <si>
    <t>chemické odplevelení po založení kultury hnízdově</t>
  </si>
  <si>
    <t>20% plochy 3x, včetně přípravků</t>
  </si>
  <si>
    <t>znovuuvázání dřeviny ke stávajícímu kůlu</t>
  </si>
  <si>
    <t>R</t>
  </si>
  <si>
    <t>zalití ploch vodou, plochy do 20 m2</t>
  </si>
  <si>
    <t>50L/ks 40x, včetně vodného, odběr z řadu</t>
  </si>
  <si>
    <t>odstraněná kůlů</t>
  </si>
  <si>
    <t>odstranění ochrany kmene</t>
  </si>
  <si>
    <t>výsadba soliterních stromů vel. 16-18 s kotvením za kořenový bal
výpočet: +4+4+12</t>
  </si>
  <si>
    <r>
      <rPr>
        <sz val="10"/>
        <rFont val="Arial"/>
        <family val="2"/>
        <charset val="1"/>
      </rPr>
      <t xml:space="preserve">Hloubení jamky 800L se 100% výměnou půdy za lávový substrát (ref Gramoflor Vulkatec), dodání dřevin - školkařské výpěstky vel 16-18, stromy s balem, výsadba dřevin s balem,  kotvení za kořenový bal (ref KOTVOS KSB-Z1), ochrana kmene rákosovou rohoží výšky min 150 cm), zásobní hnojení s dlouhodobou účinností, zahrnutí 50 g/ strom (ref. Silvamix), vytvoření stromové mísy, zálivka; komparativní řez 
</t>
    </r>
    <r>
      <rPr>
        <sz val="10"/>
        <rFont val="Arial CE"/>
        <charset val="238"/>
      </rPr>
      <t xml:space="preserve">- stromy v dlažbě:  stromová mříž je obsahem jiné části dokumentace
- stromy v rastru vedle kaple bez výměny substrátu (lávový substrát Vulkatec je použitý celoplošně v tl. min 350 mm jako podkladová vrstva dlažby)
</t>
    </r>
  </si>
  <si>
    <t>hloubení jamek 0,40-1,0 m3 se 100% výměnou půdy půdy v rovině</t>
  </si>
  <si>
    <t>dodání lávového substrátu (0,8m3/strom)</t>
  </si>
  <si>
    <t>dodání stromů (školkařské výpěstky s balem vel. 16-18)</t>
  </si>
  <si>
    <r>
      <rPr>
        <sz val="10"/>
        <rFont val="Arial"/>
        <family val="2"/>
        <charset val="1"/>
      </rPr>
      <t xml:space="preserve">rostlinný materiál za technologii </t>
    </r>
    <r>
      <rPr>
        <sz val="10"/>
        <rFont val="Arial CE"/>
        <charset val="238"/>
      </rPr>
      <t>celkem</t>
    </r>
    <r>
      <rPr>
        <sz val="10"/>
        <rFont val="Arial"/>
        <family val="2"/>
        <charset val="1"/>
      </rPr>
      <t>: 
Kp: Koeleuteria paniculata 8ks
Ph_u: Platanus x hispanica ("_u" = "umbrella shape" - ve školce zapěstovaná plochá koruna) 12ks</t>
    </r>
  </si>
  <si>
    <t>hnojení minerálním hnojivem 50g/ks k vysazovaným rostlinám  v rovině</t>
  </si>
  <si>
    <t>ukotvení dřeviny podzemním kotvením do obvodu kmene 25 cm</t>
  </si>
  <si>
    <t>dodání sady pro kotvení za kořenový bal do obvodu kmene 20 cm</t>
  </si>
  <si>
    <r>
      <rPr>
        <sz val="10"/>
        <rFont val="Arial"/>
        <family val="2"/>
        <charset val="1"/>
      </rPr>
      <t xml:space="preserve">v prvním roce:   oprava bandážování kmene; ve třetím roce: odstranění bandážování kmene
</t>
    </r>
    <r>
      <rPr>
        <sz val="10"/>
        <rFont val="Arial CE"/>
        <charset val="238"/>
      </rPr>
      <t>- prvky s automatickou závlahou po dobu rozvojové péče</t>
    </r>
  </si>
  <si>
    <t>použito pro opravu ochrany kmene</t>
  </si>
  <si>
    <t>výsadba soliterních stromů vel. 45-50 s kotvením za kořenový bal
výpočet: +3</t>
  </si>
  <si>
    <t xml:space="preserve">Hloubení jamky 2000L s 50% výměnou půdy za lávový substrát (ref Gramoflor Vulkatec), dodání dřevin - školkařské výpěstky vel 45-50, stromy s balem, výsadba dřevin s balem,  kotvení za kořenový bal (ref KOTVOS KSB-Z3), ochrana kmene rákosovou rohoží výšky min 150 cm), zásobní hnojení s dlouhodobou účinností, zahrnutí 150 g/ strom (ref. Silvamix), vytvoření stromové mísy, zálivka; komparativní řez </t>
  </si>
  <si>
    <t>hloubení jamek 2-3 m3 s 50% výměnou půdy v rovině</t>
  </si>
  <si>
    <t>dodání lávového substrátu (1m3/strom)</t>
  </si>
  <si>
    <t>výsadba dřeviny s balem 120-140 cm v rovině</t>
  </si>
  <si>
    <t>dodání stromů (školkařské výpěstky s balem vel. 45-50)</t>
  </si>
  <si>
    <t>rostlinný materiál za technologii celkem: 
Ph: Platanus x hispanica 3ks</t>
  </si>
  <si>
    <t>hnojení minerálním hnojivem 150g/ks k vysazovaným rostlinám  v rovině</t>
  </si>
  <si>
    <t>ukotvení dřeviny podzemním kotvením do obvodu kmene 75 cm</t>
  </si>
  <si>
    <t>dodání sady pro kotvení za kořenový bal do obvodu kmene 60 cm</t>
  </si>
  <si>
    <t xml:space="preserve">rohož 1,5 m výšky, rozvinutá délka do 180cm </t>
  </si>
  <si>
    <t>v prvním roce:   oprava bandážování kmene; ve třetím roce: odstranění bandážování kmene
- prvky s automatickou závlahou po dobu rozvojové péče</t>
  </si>
  <si>
    <r>
      <rPr>
        <b/>
        <sz val="10"/>
        <rFont val="Arial"/>
        <family val="2"/>
        <charset val="1"/>
      </rPr>
      <t xml:space="preserve">založení porostu keřů 3 ks/m2
</t>
    </r>
    <r>
      <rPr>
        <b/>
        <sz val="10"/>
        <rFont val="Arial"/>
        <family val="2"/>
        <charset val="238"/>
      </rPr>
      <t>výpočet: +4</t>
    </r>
  </si>
  <si>
    <t>úprava terénu, odstranění nesourodých zbytků a odpadu, navážka ornice 15cm, urovnání, vyhloubení 5L (0,005m3) jamek, výměna půdy 50%; dodání a výsadba keřů 1-2L kontejner 3 ks/m2, zásobní hnojení s dlouhodobou účinností 10 g/ keř (ref. Silvamix), zahrnutí, mulčování borkou či štěpkou 5 cm V případě výsadby směsi taxonů, realizovat vždy stejnorodé plošky cca 1-2 m2)</t>
  </si>
  <si>
    <t>dodání ornice (tl. 15 cm)</t>
  </si>
  <si>
    <t>hloubení jamek bez výměny půdy do 2-5L v rovině</t>
  </si>
  <si>
    <t>výsadba dřeviny s balem 10-20 cm v rovině</t>
  </si>
  <si>
    <t>dodání keřů  1-2L kontejner</t>
  </si>
  <si>
    <r>
      <rPr>
        <sz val="10"/>
        <rFont val="Arial CE"/>
        <charset val="238"/>
      </rPr>
      <t xml:space="preserve">rostlinný materiál za technologii celkem: 
</t>
    </r>
    <r>
      <rPr>
        <sz val="10"/>
        <rFont val="Arial"/>
        <family val="2"/>
        <charset val="1"/>
      </rPr>
      <t>g: Eounymus phlelomanus 4ks; Exochorda racemosa 2ks; Jasminum fruticans 6ks</t>
    </r>
  </si>
  <si>
    <t>hnojení minerálním hnojivem 10g/ks k vysazovaným rostlinám  v rovině</t>
  </si>
  <si>
    <t>mulčování borkou do 10 cm v rovině</t>
  </si>
  <si>
    <t>dodání borky nebo štěpky</t>
  </si>
  <si>
    <t xml:space="preserve">rozvojová péče o výsadbu keřů 3 roky
</t>
  </si>
  <si>
    <t xml:space="preserve"> prvním roce:  hnízdovité odplevelení (20%plochy) 2x; zálivka 16x 20L/m2, 
v druhém roce: hnízdovité odplevelení (20%plochy) 1x, zálivka 16x 20L/m2; v třetím roce zálivka 8x 20L/m2</t>
  </si>
  <si>
    <t>Chemické odplevelení po založení kultury smáčením v rovině</t>
  </si>
  <si>
    <t>20L/m2 24x, včetně vodného, odběr z řadu</t>
  </si>
  <si>
    <r>
      <rPr>
        <b/>
        <sz val="10"/>
        <rFont val="Arial"/>
        <family val="2"/>
        <charset val="1"/>
      </rPr>
      <t xml:space="preserve">založení porostu keřů 5 ks/m2
</t>
    </r>
    <r>
      <rPr>
        <b/>
        <sz val="10"/>
        <rFont val="Arial"/>
        <family val="2"/>
        <charset val="238"/>
      </rPr>
      <t>výpočet: +8+	17+29+7+8+2+3+2+3+3+2+2+3+28</t>
    </r>
  </si>
  <si>
    <t>úprava terénu, odstranění nesourodých zbytků a odpadu, navážka ornice 15cm, urovnání, vyhloubení 5L (0,005m3) jamek, výměna půdy 50%, dodání a výsadba keřů 0,5-2L kontejner 5 ks/m2, zásobní hnojení s dlouhodobou účinností 10 g/ keř (ref. Silvamix), zahrnutí , mulčování borkou či štěpkou 5 cm V případě výsadby směsi taxonů, realizovat vždy stejnorodé plošky cca 3-5 m2)</t>
  </si>
  <si>
    <r>
      <rPr>
        <sz val="10"/>
        <rFont val="Arial CE"/>
        <charset val="238"/>
      </rPr>
      <t xml:space="preserve">rostlinný materiál za technologii celkem: 
</t>
    </r>
    <r>
      <rPr>
        <sz val="10"/>
        <rFont val="Arial"/>
        <family val="2"/>
        <charset val="1"/>
      </rPr>
      <t>a:  Lonicera xylosteum 'Clavey's Dwarf' 69ks; Stephanandra incisa Crispa 138ks; Spiraea bumalda 35ks;  Spiraea prunifolia	35ks;  Spiraea decumbens 69ks
c:  Jasminum nudiflorum 5ks; Cotoneaster salicifolius ' Gnom' 13ks; Cotoneaster ' Skogholmen' 8ks
d:  Calicarpa japonica 1ks; Cotoneaster salicifolius ' Flocosus' 1ks; Hydrangea paniculata 1ks; Viburnum fragrans 1ks; Viburnum ' Eskimo' 1ks;  Spiraea arguta 18ks; Spiraea prunifolia 18ks; Hypericum hookerianum ' Hidcote' 18ks
h:  Cotoneaster lacteus 21ks; Cotonester dammerii ' Skogholmen' 14ks; Hypericum hookerianum ' Hidcote' 21ks; Euonymus europaeus 7ks;  Spiraea cinerea 'Grefsheim' 14ks; Spiraea bella 7ks; Spiraea decumbens 28ks;  Spiraea bumalda14ks; Stephanandra incisa ' Crispa' 14ks
f:  Spiraea cinerea 'Grefsheim' 2ks; Spiraea bella 2ks;  Spiraea decumbens 5ks; Spiraea bumalda 3ks; Stephanandra incisa ' Crispa' 5ks</t>
    </r>
  </si>
  <si>
    <t>v prvním roce:  hnízdovité odplevelení (20%plochy) 2x; zálivka 16x 20L/m2, 
v druhém roce: hnízdovité odplevelení (20%plochy) 1x, zálivka 16x 20L/m2; v třetím roce zálivka 8x 20L/m2; 
předpis závlahy platí pouze pro plochy bez zavlažovacího systému (54 m2)</t>
  </si>
  <si>
    <t>výsadba  trvalek 7 ks/m2
výpočet:+13+47+13+13+8+19+26+21+17+39+10+9</t>
  </si>
  <si>
    <t>úprava terénu, odstranění nesourodých zbytků a odpadu, navážka ornice 15cm, urovnání, vyhloubení 5L (0,005m3) jamek, výměna půdy 50%, výsadba trvalek 0,5-1L  7 ks/m2, zásobní hnojení s dlouhodobou účinností, zahrnutí 10 g/ keř (ref. Silvamix), mulčování borkou či štěpkou 5 cm V případě výsadby směsi taxonů, realizovat vždy stejnorodé plošky cca 1-5 m2)</t>
  </si>
  <si>
    <t>výsadba květin hrnkovaných, prům květináče do 120mm</t>
  </si>
  <si>
    <t>dodání  trvalek 0,5-1L kontejner</t>
  </si>
  <si>
    <t xml:space="preserve">b:  Calamagrostis acutiflora Karl Foester 97ks; Miscanthus sinensis Silberspine 49ks;  Panicum virgatum  Shenandoah 19ks;  Ceranthus ruber ‘Coccineus' 19ks; 	Achillea filipendulina ‘Credo' 49ks;  Hemerocallis ‘Purple Waters' 19ks;  Hemerocallis ‘Stella d' Oro' 19ks;  Asclepias tuberosa 19ks;  Geranium cantabriense ‘Biokovo' 97ks;  Geranium cantabriense ‘Karmina'	97ks;  Geranium cantabriense ‘St. Ola' 97ks;  Geranium cinereum ‘Ballerina' 49ks;  Geranium x ' Rozanne' 49ks;  Nepeta x faassenii ' Blue Wonder' 146ks; Lithospermum purpuraocaeruleum 146ks;  Lavandula angustifolia 49ks
e: Alchemilla mollis ‘Thriller' 54ks;  Bergenia cordifolia ‘Winter Glut' 27ks;  Bergenia cordifolia ‘Silberlicht' 27ks; 	Carex morowii ‘Irish Green' 54ks; Carex muskingumensis 11ks; 	Molinia cearuela Dauerstrahl 27ks; Geranium himalayense ' Gravetye' 27ks;  Geranium macrorrhizum ' White Ness' 27ks;  Geranium macrorrhizum ' Ridsko' 54ks;  Geranium renardii	54ks;  Geranium sylvaticum ' Mayflower'	27ks;  Heuchera ' Caramell' 11ks;  Hemerocallis ' Little Anna Rosa' 11ks;  Hemerocallis lilioasphodelus 11ks;  Hemerocallis citrina 11ks; 	Hypericum calycine	54ks;  Veronica penducularis ' Georgia Blue' 54ks
i:  Alchemilla mollis 'Thriller ' 20ks;  Baptistia sphaerocarpa 7ks;  Geranium x cantabrigiense 'Bikovo '	27ks;  Geranium x cantabrigiense 'Karmin ' 7ks;  Geranium macrorhizum 'White Ness ' 7ks;  Geranium renardii 7ks;  Nepeta x faassenii 'Drop More ' 7ks;  Nepeta x racemosa 'Grog ' 20ks;  Rudbeckia missouriensis 7ks; Carex montana 20ks; Pennisetum alopecuroides ' Little Bunny ' 7ks
</t>
  </si>
  <si>
    <t xml:space="preserve">rozvojová péče o výsadbu trvalek 2 roky
</t>
  </si>
  <si>
    <t>v prvním roce:  hnízdovité odplevelení (20%plochy) 2x, zálivka 16x 20L/m2; 
v druhém roce: hnízdovité odplevelení (20%plochy) 1x; 
předpis závlahy platí pouze pro plochy bez zavlažovacího systému (27 m2)</t>
  </si>
  <si>
    <t>trávník parkový
výpočet: +182+151+106+11+146+65</t>
  </si>
  <si>
    <t xml:space="preserve">úprava terénu, odstranění nesourodých zbytků a odpadu, navážka ornice 15cm, urovnání, výsev travního semene (směsi semen), zapravení semene do půdy, uválcování, zavlažení; 1. seč
</t>
  </si>
  <si>
    <t>včetně dodání, travního semene (směsi semen) výsev 15g/m2</t>
  </si>
  <si>
    <t>včetně dodání hnojiva (NPK) 20g/m2</t>
  </si>
  <si>
    <t>20L/m2 1x, včetně vodného, odběr z řadu</t>
  </si>
  <si>
    <t>závlaha plošná kapací hadicí
výpočet: +310</t>
  </si>
  <si>
    <t>instalace kapací hadice do plochy záhonů 4 bm hadice/ m2 záhonu, instalace pod vrstvu mulče nebo do povrchové vrstvy kameniva</t>
  </si>
  <si>
    <t>dodání a instalace kapcí hadice, 4 bm/m2 prvku</t>
  </si>
  <si>
    <t>řídící jednotka závlah
výpočet: +1</t>
  </si>
  <si>
    <t>sestava: kulový ventil 6/4", 6/4" filtr tlakové řady PN14, hlavní  elektroventil 6/4" tl. řada PN14, řídící jednotka min 6 sekcí (připojení el 230 V) vypouštěcí kohout, dešťové/vlhkostní čidlo; elmag ventil jednotlivých větví 5 ks;  sestava včetně dodání, instalace a oživení systému</t>
  </si>
  <si>
    <t>dodání a instalace řídící jednotky závlah, včetně filtru, vypouštěcího kohoutu a elektroventilu ovládání závlah</t>
  </si>
  <si>
    <t>páteřní rozvody závlah (větev pro kapkovou závlahu)
výpočet: +306</t>
  </si>
  <si>
    <t>1" PE hadice,  převážně uložení do souvrství dlažby v chráničce prům. 40 mm</t>
  </si>
  <si>
    <t>dodání a instalace 1“ PE hadice uložené v souvrství dlažby</t>
  </si>
  <si>
    <t>klasifikace (kód klasifikace položky): „T“ = technologie z katalogu URS, „M“ = materiál, „R“ = Rpoložka (většinou montáž s pomocným materiálem)</t>
  </si>
  <si>
    <t>19) Kóty a mocnosti uvedené v PD odpovídají vždy po hutnění terénu.</t>
  </si>
  <si>
    <t xml:space="preserve">18) Stávající zemina (navážka) na původním neupraveném terénu bude odtěžena na úroveň -1,60m. 
Je nahrazena násypovou zeminou dle IGP, hutněnou po max 20cm. </t>
  </si>
  <si>
    <t>18) Stávající zemina (navážka) na původním neupraveném terénech bude odtěžena na úroveň      
-1,60m. Bude nahrazena násypovou zeminou a hutněna á max 20cm dle IGP. (nově prováděné rýhy jsou již ve zhutněném násypu)</t>
  </si>
  <si>
    <t>18) Stávající zemina (navážka) na původním neupraveném terénech bude odtěžena na úroveň 
-1,60m. Bude nahrazena násypovou zeminou a hutněna á max 20cm dle IGP. (nově prováděné rýhy jsou již ve zhutněném násypu)</t>
  </si>
  <si>
    <t>6) Likvidace kovových částí: Veškeré kovové části budou před odvozem k prodeji zváženy a jejich hmotnost zapsána do Stavebního deníku. Následně budou odvezeny a prodány jako druhotné suroviny do Kovošrotu za cenu platnou v den prodeje. Jejich výtěžek bude poslán na účet investora ve výši ceny platné 
v den prodeje.</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</si>
  <si>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</si>
  <si>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</si>
  <si>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</si>
  <si>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</si>
  <si>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</si>
  <si>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</si>
  <si>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</si>
  <si>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</si>
  <si>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</si>
  <si>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</si>
  <si>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</si>
  <si>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</si>
  <si>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</si>
  <si>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</si>
  <si>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</si>
  <si>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</si>
  <si>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</si>
  <si>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</si>
  <si>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</si>
  <si>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</si>
  <si>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</si>
  <si>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</si>
  <si>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</si>
  <si>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</si>
  <si>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</si>
  <si>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</si>
  <si>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</si>
  <si>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</si>
  <si>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</si>
  <si>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</si>
  <si>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</si>
  <si>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</si>
  <si>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</si>
  <si>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</si>
  <si>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</si>
  <si>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</si>
  <si>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</si>
  <si>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</si>
  <si>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</si>
  <si>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</si>
  <si>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</si>
  <si>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</si>
  <si>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</si>
  <si>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</si>
  <si>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</si>
  <si>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</si>
  <si>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</si>
  <si>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</si>
  <si>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</si>
  <si>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</si>
  <si>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</si>
  <si>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</si>
  <si>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</si>
  <si>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</si>
  <si>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</si>
  <si>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</si>
  <si>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</si>
  <si>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</si>
  <si>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</si>
  <si>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</si>
  <si>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</si>
  <si>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</si>
  <si>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</si>
  <si>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</si>
  <si>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</si>
  <si>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</si>
  <si>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</si>
  <si>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</si>
  <si>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</si>
  <si>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</si>
  <si>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</si>
  <si>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</si>
  <si>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</si>
  <si>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</si>
  <si>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</si>
  <si>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</si>
  <si>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</si>
  <si>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</si>
  <si>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</si>
  <si>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</si>
  <si>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</si>
  <si>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</si>
  <si>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</si>
  <si>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</si>
  <si>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</si>
  <si>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</si>
  <si>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</si>
  <si>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</si>
  <si>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</si>
  <si>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</si>
  <si>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</si>
  <si>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</si>
  <si>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</si>
  <si>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</si>
  <si>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</si>
  <si>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</si>
  <si>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</si>
  <si>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</si>
  <si>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</si>
  <si>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</si>
  <si>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</si>
  <si>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r>
      <t xml:space="preserve">podkladní beton   100 mm, </t>
    </r>
    <r>
      <rPr>
        <sz val="10"/>
        <rFont val="Arial"/>
        <family val="2"/>
        <charset val="238"/>
      </rPr>
      <t>Mazanina tl do 120 mm z betonu prostého bez zvýšených nároků na prostředí tř. C 16/20</t>
    </r>
  </si>
  <si>
    <t>Přesun hmot  711  ; 3,05%</t>
  </si>
  <si>
    <t xml:space="preserve">Vytyčení trasy </t>
  </si>
  <si>
    <t>Výkop a zához zemních sond - mozaika</t>
  </si>
  <si>
    <t xml:space="preserve">Výkop pro kabelovou komoru </t>
  </si>
  <si>
    <t>Odvoz vykopaného materiálu se skládkovným do 20 km</t>
  </si>
  <si>
    <t>Vyzvednutí silničních obrub</t>
  </si>
  <si>
    <t>Uložení silničních obrub</t>
  </si>
  <si>
    <t>Kalibrace a tlaková zkouška HDPE nebo LSPE včetně protokolů</t>
  </si>
  <si>
    <t>Pokládka HDPE</t>
  </si>
  <si>
    <t>Zatažení HDPE do chráničky</t>
  </si>
  <si>
    <t>Montáž spojky na HDPE trubce 40mm</t>
  </si>
  <si>
    <t>Montáž těsnící zátky OK na HDPE trubce 40mm  nebo HDPE trubce 40mm - bez ventilku, s ventilkem</t>
  </si>
  <si>
    <t>usazení kabelové komory</t>
  </si>
  <si>
    <t>Zpracování geometrických plánů - (jeden majitel) + zřízení věcného břemene</t>
  </si>
  <si>
    <t>případ</t>
  </si>
  <si>
    <t xml:space="preserve">Geodetické zam. a mapování </t>
  </si>
  <si>
    <t>MATERIÁL</t>
  </si>
  <si>
    <t>HDPE 40/33 - Žlutá (popis dle požadavku T-Mobile)</t>
  </si>
  <si>
    <t>HDPE 40/33 - Žlutá s červeným pruhem (popis dle požadavku T-Mobile)</t>
  </si>
  <si>
    <t>HDPE 40/33 - Žlutá s modrým pruhem (popis dle požadavku T-Mobile)</t>
  </si>
  <si>
    <t>Chránička korugovaná 125 mm do překopu</t>
  </si>
  <si>
    <t>Spojka na HDPE</t>
  </si>
  <si>
    <t>Koncovka na HDPE</t>
  </si>
  <si>
    <t>Kabelová komora CB 2436-660</t>
  </si>
  <si>
    <t xml:space="preserve">Víko kabelové komory - zadlažďovací </t>
  </si>
  <si>
    <t>výstražná fólie</t>
  </si>
  <si>
    <t>Deska plastová</t>
  </si>
  <si>
    <t>Recyklát včetně dopravy</t>
  </si>
  <si>
    <t>Navezení nové zeminy (ohumusování zelené plochy) - včetně dopravy</t>
  </si>
  <si>
    <t>MONTÁŽNÍ PRÁCE</t>
  </si>
  <si>
    <t>DSP paušaĺní cena</t>
  </si>
  <si>
    <t>clk</t>
  </si>
  <si>
    <t>ZEMNÍ PRÁCE</t>
  </si>
  <si>
    <t>Liniový žlab</t>
  </si>
  <si>
    <t>Výkop pro uloženíliniového žlabu, výměra: (0,60*35m*0,50)</t>
  </si>
  <si>
    <r>
      <rPr>
        <b/>
        <sz val="10"/>
        <rFont val="Arial"/>
        <family val="2"/>
        <charset val="238"/>
      </rPr>
      <t>Přehutnění</t>
    </r>
    <r>
      <rPr>
        <sz val="10"/>
        <rFont val="Arial"/>
        <family val="2"/>
        <charset val="238"/>
      </rPr>
      <t xml:space="preserve"> podkladní stávající vrstvy pod dlažbu v pásmu 1m na obě straby od osy výkopu rýhy</t>
    </r>
  </si>
  <si>
    <t>Únosné podloží dle TP 170</t>
  </si>
  <si>
    <r>
      <rPr>
        <b/>
        <sz val="10"/>
        <rFont val="Arial"/>
        <family val="2"/>
        <charset val="238"/>
      </rPr>
      <t>Zásyp</t>
    </r>
    <r>
      <rPr>
        <sz val="10"/>
        <rFont val="Arial"/>
        <family val="2"/>
        <charset val="238"/>
      </rPr>
      <t xml:space="preserve"> v uzavřených prostorech sypaninou se zhutněním z materiálu ze souvrství pod zpevněnými plochami  -  výměra cca ; 0,34*(360,62+269+146,97m2+51,06m2+dlažba u Star. Pošty 138+121m2+75,26m2+74,65m2+ 132,40m2+ 12,5m2 +28)</t>
    </r>
  </si>
  <si>
    <r>
      <rPr>
        <b/>
        <sz val="10"/>
        <rFont val="Arial"/>
        <family val="2"/>
        <charset val="238"/>
      </rPr>
      <t xml:space="preserve">Podkladní betonová </t>
    </r>
    <r>
      <rPr>
        <sz val="10"/>
        <rFont val="Arial"/>
        <family val="2"/>
        <charset val="238"/>
      </rPr>
      <t>deska C25/30 dle ČSN EN 206-1, výměra: 0,60*0,20*35bm</t>
    </r>
  </si>
  <si>
    <r>
      <rPr>
        <b/>
        <sz val="10"/>
        <rFont val="Arial"/>
        <family val="2"/>
        <charset val="238"/>
      </rPr>
      <t>Zásyp</t>
    </r>
    <r>
      <rPr>
        <sz val="10"/>
        <rFont val="Arial"/>
        <family val="2"/>
        <charset val="238"/>
      </rPr>
      <t xml:space="preserve"> v uzavřených prostorech sypaninou se zhutněním z materiálu ze souvrství pod zpevněnými plochami  -  výměra cca ;0,60*0,50*35bm</t>
    </r>
  </si>
  <si>
    <r>
      <rPr>
        <b/>
        <sz val="10"/>
        <rFont val="Arial"/>
        <family val="2"/>
        <charset val="238"/>
      </rPr>
      <t>Provizorní</t>
    </r>
    <r>
      <rPr>
        <sz val="10"/>
        <rFont val="Arial"/>
        <family val="2"/>
        <charset val="238"/>
      </rPr>
      <t xml:space="preserve"> zajištění kabelů ve výkopišti při jejich souběhu, avšak při jejich souběhu</t>
    </r>
  </si>
  <si>
    <r>
      <rPr>
        <b/>
        <sz val="10"/>
        <rFont val="Arial"/>
        <family val="2"/>
        <charset val="238"/>
      </rPr>
      <t xml:space="preserve">Základové desky ze ŽB </t>
    </r>
    <r>
      <rPr>
        <sz val="10"/>
        <rFont val="Arial"/>
        <family val="2"/>
        <charset val="238"/>
      </rPr>
      <t>se zvýšenými nároky na prostředí tř. C 30/37(LP), XF4, XM2, max. vel. zrna 8mm, výměra: cca 0,60*0,20*35bm (lože pro žlab)</t>
    </r>
  </si>
  <si>
    <t>Kamenný patník</t>
  </si>
  <si>
    <t>Instalace svítidla F2 do kamenného patníku+spojka a spojkování kabelů, kompletní provedení</t>
  </si>
  <si>
    <t>Instalace svítidla F4 do kamenného schodu+spojka a spojkování kabelů, kompletní provedení</t>
  </si>
  <si>
    <t>Kamenný patník 300/200/600 mm s otvorem pro vložení osvětlení vel. 120*90mm s nerezovými dvířky, kapsa pro spojkování kabelů, Kotvení do betonového základu, nerezová trn průměru 16mm + lepší stavební lepidlo, způdob kotvení navrhne dodavatel, včetně osazení, kompletní provedení</t>
  </si>
  <si>
    <r>
      <rPr>
        <b/>
        <sz val="10"/>
        <rFont val="Arial"/>
        <family val="2"/>
        <charset val="238"/>
      </rPr>
      <t xml:space="preserve">Osazení </t>
    </r>
    <r>
      <rPr>
        <sz val="10"/>
        <rFont val="Arial"/>
        <family val="2"/>
        <charset val="238"/>
      </rPr>
      <t>dlažby do betonu kolem liniového žlabu</t>
    </r>
  </si>
  <si>
    <t>Exteriérové hodiny, kulaté Ø400mm, autonomní řízené a monitorované systémem s vestavěným přijímačem pro bezdrátovou komunikaci, napájení 230Vac, včetně osvětlení, provedení se sekundovou ručičkou, dvoustranné , boční konzola s montáží na kuželový sloup, design ciferníku : pouze čárky bez číslic,  včetně příslušenství, kompletní provedení</t>
  </si>
  <si>
    <r>
      <t xml:space="preserve">Osvětlovací těleso typ </t>
    </r>
    <r>
      <rPr>
        <b/>
        <sz val="10"/>
        <rFont val="Arial"/>
        <family val="2"/>
        <charset val="238"/>
      </rPr>
      <t xml:space="preserve">F2 </t>
    </r>
    <r>
      <rPr>
        <sz val="10"/>
        <rFont val="Arial"/>
        <family val="2"/>
        <charset val="238"/>
      </rPr>
      <t xml:space="preserve">dle výkresu č.19-013-DPS-D.1-06-02-02  </t>
    </r>
    <r>
      <rPr>
        <b/>
        <sz val="10"/>
        <rFont val="Arial"/>
        <family val="2"/>
        <charset val="238"/>
      </rPr>
      <t>+ příloha "SO 401 Veřejné osvětlení, 01 část světelně technická"</t>
    </r>
    <r>
      <rPr>
        <sz val="10"/>
        <rFont val="Arial"/>
        <family val="2"/>
        <charset val="238"/>
      </rPr>
      <t>, včetně příslušenství, kompletní provedení</t>
    </r>
  </si>
  <si>
    <r>
      <t xml:space="preserve">Osvětlovací těleso typ </t>
    </r>
    <r>
      <rPr>
        <b/>
        <sz val="10"/>
        <rFont val="Arial"/>
        <family val="2"/>
        <charset val="238"/>
      </rPr>
      <t xml:space="preserve">F4 </t>
    </r>
    <r>
      <rPr>
        <sz val="10"/>
        <rFont val="Arial"/>
        <family val="2"/>
        <charset val="238"/>
      </rPr>
      <t xml:space="preserve">dle výkresu č. 19-013-DPS-D.1-06-02-02 </t>
    </r>
    <r>
      <rPr>
        <b/>
        <sz val="10"/>
        <rFont val="Arial"/>
        <family val="2"/>
        <charset val="238"/>
      </rPr>
      <t xml:space="preserve">+ příloha "SO 401 Veřejné osvětlení, 01 část světelně technická", </t>
    </r>
    <r>
      <rPr>
        <sz val="10"/>
        <rFont val="Arial"/>
        <family val="2"/>
        <charset val="238"/>
      </rPr>
      <t>včetně příslušenství, kompletní provedení</t>
    </r>
  </si>
  <si>
    <r>
      <t xml:space="preserve">Osvětlovací těleso typ </t>
    </r>
    <r>
      <rPr>
        <b/>
        <sz val="10"/>
        <rFont val="Arial"/>
        <family val="2"/>
        <charset val="238"/>
      </rPr>
      <t xml:space="preserve">G1 </t>
    </r>
    <r>
      <rPr>
        <sz val="10"/>
        <rFont val="Arial"/>
        <family val="2"/>
        <charset val="238"/>
      </rPr>
      <t xml:space="preserve">dle výkresu č. 19-013-DPS-D.1-06-02-02 </t>
    </r>
    <r>
      <rPr>
        <b/>
        <sz val="10"/>
        <rFont val="Arial"/>
        <family val="2"/>
        <charset val="238"/>
      </rPr>
      <t xml:space="preserve">+ příloha "SO 401 Veřejné osvětlení, 01 část světelně technická", </t>
    </r>
    <r>
      <rPr>
        <sz val="10"/>
        <rFont val="Arial"/>
        <family val="2"/>
        <charset val="238"/>
      </rPr>
      <t xml:space="preserve">včetně příslušenství, kompletní provedení </t>
    </r>
  </si>
  <si>
    <r>
      <t xml:space="preserve">Osvětlovací těleso typ </t>
    </r>
    <r>
      <rPr>
        <b/>
        <sz val="10"/>
        <rFont val="Arial"/>
        <family val="2"/>
        <charset val="238"/>
      </rPr>
      <t xml:space="preserve">G2 </t>
    </r>
    <r>
      <rPr>
        <sz val="10"/>
        <rFont val="Arial"/>
        <family val="2"/>
        <charset val="238"/>
      </rPr>
      <t xml:space="preserve">dle výkresu č. 19-013-DPS-D.1-06-02-02 </t>
    </r>
    <r>
      <rPr>
        <b/>
        <sz val="10"/>
        <rFont val="Arial"/>
        <family val="2"/>
        <charset val="238"/>
      </rPr>
      <t xml:space="preserve">+ příloha "SO 401 Veřejné osvětlení, 01 část světelně technická", </t>
    </r>
    <r>
      <rPr>
        <sz val="10"/>
        <rFont val="Arial"/>
        <family val="2"/>
        <charset val="238"/>
      </rPr>
      <t>včetně příslušenství, kompletní provedení</t>
    </r>
  </si>
  <si>
    <r>
      <t xml:space="preserve">Osvětlovací těleso typ </t>
    </r>
    <r>
      <rPr>
        <b/>
        <sz val="10"/>
        <rFont val="Arial"/>
        <family val="2"/>
        <charset val="238"/>
      </rPr>
      <t xml:space="preserve">H1 </t>
    </r>
    <r>
      <rPr>
        <sz val="10"/>
        <rFont val="Arial"/>
        <family val="2"/>
        <charset val="238"/>
      </rPr>
      <t xml:space="preserve">dle výkresu č. 19-013-DPS-D.1-06-02-02 </t>
    </r>
    <r>
      <rPr>
        <b/>
        <sz val="10"/>
        <rFont val="Arial"/>
        <family val="2"/>
        <charset val="238"/>
      </rPr>
      <t xml:space="preserve">+ příloha "SO 401 Veřejné osvětlení, 01 část světelně technická", </t>
    </r>
    <r>
      <rPr>
        <sz val="10"/>
        <rFont val="Arial"/>
        <family val="2"/>
        <charset val="238"/>
      </rPr>
      <t>včetně příslušenství, kompletní provedení</t>
    </r>
  </si>
  <si>
    <r>
      <t>Základová patka</t>
    </r>
    <r>
      <rPr>
        <sz val="10"/>
        <color indexed="8"/>
        <rFont val="Arial"/>
        <family val="2"/>
        <charset val="238"/>
      </rPr>
      <t> z betonu prostého C 25/30</t>
    </r>
    <r>
      <rPr>
        <b/>
        <sz val="10"/>
        <color indexed="8"/>
        <rFont val="Arial"/>
        <family val="2"/>
        <charset val="238"/>
      </rPr>
      <t xml:space="preserve">, </t>
    </r>
    <r>
      <rPr>
        <sz val="10"/>
        <color indexed="8"/>
        <rFont val="Arial"/>
        <family val="2"/>
        <charset val="238"/>
      </rPr>
      <t>výměra: 0,40*0,50*0,40*22ks</t>
    </r>
  </si>
  <si>
    <t>Hloubení nezapažených jam ručně včetně urovnání dna s přemístěním výkopku do vzdálenosti 3 m od okraje jámy nebo s naložením na dopravní prostředek v hornině třídy těžitelnosti I skupiny 3</t>
  </si>
  <si>
    <r>
      <rPr>
        <b/>
        <sz val="10"/>
        <rFont val="Arial"/>
        <family val="2"/>
        <charset val="238"/>
      </rPr>
      <t>Zřízení opláštění</t>
    </r>
    <r>
      <rPr>
        <sz val="10"/>
        <rFont val="Arial"/>
        <family val="2"/>
        <charset val="238"/>
      </rPr>
      <t xml:space="preserve">  trativodů geotextilií v rýze nebo zářezu přes 1:2 š do 2,5 m</t>
    </r>
  </si>
  <si>
    <r>
      <rPr>
        <b/>
        <sz val="10"/>
        <rFont val="Arial"/>
        <family val="2"/>
        <charset val="238"/>
      </rPr>
      <t>Ochrana před</t>
    </r>
    <r>
      <rPr>
        <sz val="10"/>
        <rFont val="Arial"/>
        <family val="2"/>
        <charset val="238"/>
      </rPr>
      <t xml:space="preserve"> prorůstáním kořenů kolem základů osvětlovacích těles (ochrané vrstvy z rohoží nebo desek) výměry :  cca 25,0m2*9ks</t>
    </r>
  </si>
  <si>
    <r>
      <rPr>
        <b/>
        <sz val="10"/>
        <rFont val="Arial"/>
        <family val="2"/>
        <charset val="238"/>
      </rPr>
      <t>Odvodnění</t>
    </r>
    <r>
      <rPr>
        <sz val="10"/>
        <rFont val="Arial"/>
        <family val="2"/>
        <charset val="238"/>
      </rPr>
      <t xml:space="preserve"> základu svítidel,  z drenážních  trubek pro  drenáže se zřízením štěrkového lože pod trubky a s jejich obsypem v otevřeném výkopu trubka flexibilní PVC-U SN 4 celoperforovaná 360° DN 100</t>
    </r>
  </si>
  <si>
    <r>
      <rPr>
        <b/>
        <sz val="10"/>
        <rFont val="Arial"/>
        <family val="2"/>
        <charset val="238"/>
      </rPr>
      <t>Vrtání do kamenného</t>
    </r>
    <r>
      <rPr>
        <sz val="10"/>
        <rFont val="Arial"/>
        <family val="2"/>
        <charset val="238"/>
      </rPr>
      <t xml:space="preserve"> schodu pro umístění svítidla F4, kompletní provedení</t>
    </r>
  </si>
  <si>
    <r>
      <rPr>
        <b/>
        <sz val="10"/>
        <rFont val="Arial"/>
        <family val="2"/>
        <charset val="238"/>
      </rPr>
      <t>Zásyp</t>
    </r>
    <r>
      <rPr>
        <sz val="10"/>
        <rFont val="Arial"/>
        <family val="2"/>
        <charset val="238"/>
      </rPr>
      <t> v uzavřených prostorech sypaninou se zhutněním</t>
    </r>
  </si>
  <si>
    <t>27035/R0001</t>
  </si>
  <si>
    <t>27035/R0002</t>
  </si>
  <si>
    <t xml:space="preserve"> výměra: (0,40*0,50*0,40*22ks)</t>
  </si>
  <si>
    <t>59227/R001</t>
  </si>
  <si>
    <t>59227/R002</t>
  </si>
  <si>
    <t>59227/R003</t>
  </si>
  <si>
    <t>2866/R1681</t>
  </si>
  <si>
    <t>dodávka+ montáž</t>
  </si>
  <si>
    <t>7826/R31114</t>
  </si>
  <si>
    <t>20) Přesuny hmot jsou započítány v ceně, není-li uvedeno jinak.</t>
  </si>
  <si>
    <t xml:space="preserve">21)Poznámka : </t>
  </si>
  <si>
    <t xml:space="preserve"> -  výměry budou upřesněny v realizační dokumentaci</t>
  </si>
  <si>
    <t>12) Zemní práce dle DP a IGP</t>
  </si>
  <si>
    <t xml:space="preserve">16) Výměry budou upřesněny v realizační dokumentaci </t>
  </si>
  <si>
    <t>4) Hutnění konstrukcí nových i stávajících po demontáži. Konstrukce pro zpevnění hutnit po jednotlivých podkladních vrstvách  dle PD a IGP k příslušejícímu  SO.</t>
  </si>
  <si>
    <t>17) Zpracování realizační dokumentace upřesňuje veškeré  návaznosti konstrukcí, detaily, s upřeněním rozměrů, kotevní materiál atd.</t>
  </si>
  <si>
    <r>
      <rPr>
        <b/>
        <sz val="10"/>
        <rFont val="Arial"/>
        <family val="2"/>
        <charset val="238"/>
      </rPr>
      <t>Vodovodní přípojka PE</t>
    </r>
    <r>
      <rPr>
        <sz val="10"/>
        <rFont val="Arial"/>
        <family val="2"/>
        <charset val="238"/>
      </rPr>
      <t xml:space="preserve"> 100SDR11PN16 </t>
    </r>
    <r>
      <rPr>
        <b/>
        <sz val="10"/>
        <rFont val="Arial"/>
        <family val="2"/>
        <charset val="238"/>
      </rPr>
      <t>40x3,7mm</t>
    </r>
    <r>
      <rPr>
        <sz val="10"/>
        <rFont val="Arial"/>
        <family val="2"/>
        <charset val="238"/>
      </rPr>
      <t>, výměra: 8,03mm, včetně tvarovek-kolen, odboček apod</t>
    </r>
  </si>
  <si>
    <r>
      <rPr>
        <b/>
        <sz val="10"/>
        <rFont val="Arial"/>
        <family val="2"/>
        <charset val="238"/>
      </rPr>
      <t>Dtto specifikace</t>
    </r>
    <r>
      <rPr>
        <sz val="10"/>
        <rFont val="Arial"/>
        <family val="2"/>
        <charset val="238"/>
      </rPr>
      <t>, potrubí vodovodní třívrstvé PE100 SDR11 s dodatečným opláštěním a integrovaným detekčním vodičem, 40 x 3,7mm včetně kolen, odboček apod.</t>
    </r>
  </si>
  <si>
    <r>
      <rPr>
        <b/>
        <sz val="10"/>
        <rFont val="Arial"/>
        <family val="2"/>
        <charset val="238"/>
      </rPr>
      <t>Dodávka+montáž,</t>
    </r>
    <r>
      <rPr>
        <sz val="10"/>
        <rFont val="Arial"/>
        <family val="2"/>
        <charset val="238"/>
      </rPr>
      <t xml:space="preserve"> Napojení přípojky na řad, zemní zákopová souprava (cena a způsob napojení bude upřesněn po odhalení stáv. potrubí), např. pomocí navrtávacího pasu na stávající veřejný řad LT100, očištění potrubí v dl. min. 500mm.  Kompletní provedení.</t>
    </r>
  </si>
  <si>
    <r>
      <t>Šachta vodoměrná </t>
    </r>
    <r>
      <rPr>
        <sz val="10"/>
        <rFont val="Arial"/>
        <family val="2"/>
        <charset val="238"/>
      </rPr>
      <t>hranatá tl  včetně výztuhy 0,9/1,2/1,4 m - specifikace</t>
    </r>
  </si>
  <si>
    <r>
      <t xml:space="preserve">Poklop </t>
    </r>
    <r>
      <rPr>
        <sz val="10"/>
        <rFont val="Arial"/>
        <family val="2"/>
        <charset val="238"/>
      </rPr>
      <t>litinový D400 dodávka + montáž , kompletní provedení (upřesní se dle montážní dokumentace</t>
    </r>
  </si>
  <si>
    <r>
      <rPr>
        <b/>
        <sz val="10"/>
        <rFont val="Arial"/>
        <family val="2"/>
        <charset val="238"/>
      </rPr>
      <t xml:space="preserve">Vodoměrná šachta 900/1200mm, plastová </t>
    </r>
    <r>
      <rPr>
        <sz val="10"/>
        <rFont val="Arial"/>
        <family val="2"/>
        <charset val="238"/>
      </rPr>
      <t>s obetonováním včetně litinového poklopu 600x600mm, Kompletní provedení.</t>
    </r>
  </si>
  <si>
    <r>
      <rPr>
        <b/>
        <sz val="10"/>
        <rFont val="Arial"/>
        <family val="2"/>
        <charset val="238"/>
      </rPr>
      <t>Podklad z mechanicky</t>
    </r>
    <r>
      <rPr>
        <sz val="10"/>
        <rFont val="Arial"/>
        <family val="2"/>
        <charset val="238"/>
      </rPr>
      <t xml:space="preserve"> zpevněného kameniva MZK,  s rozprostřením a zhutněním, po zhutnění tl. 100mm .ČSN 73 6126-1 připouští pro MZK max. tl. 300 mm.</t>
    </r>
  </si>
  <si>
    <r>
      <rPr>
        <b/>
        <sz val="10"/>
        <rFont val="Arial"/>
        <family val="2"/>
        <charset val="238"/>
      </rPr>
      <t>Obsyp vodoměrné šachty</t>
    </r>
    <r>
      <rPr>
        <sz val="10"/>
        <rFont val="Arial"/>
        <family val="2"/>
        <charset val="238"/>
      </rPr>
      <t>, zhutněno, tl. 100mm, výměra:(1,625+0,10*2+1,325)*2*0,10bm š.*2,0 bm hl.</t>
    </r>
  </si>
  <si>
    <r>
      <rPr>
        <b/>
        <sz val="10"/>
        <rFont val="Arial"/>
        <family val="2"/>
        <charset val="238"/>
      </rPr>
      <t>Dno betonové vodoměrné</t>
    </r>
    <r>
      <rPr>
        <sz val="10"/>
        <rFont val="Arial"/>
        <family val="2"/>
        <charset val="238"/>
      </rPr>
      <t xml:space="preserve"> šachty hranaté 0,9/1,2 pro zatížení B125.dodávka,  nebo
(Podkladní beton C25/30 vyztuženo kari sítí, výměra : 1,325bm*1,625bm* 0,20bm hl.)</t>
    </r>
  </si>
  <si>
    <r>
      <rPr>
        <b/>
        <sz val="10"/>
        <rFont val="Arial"/>
        <family val="2"/>
        <charset val="238"/>
      </rPr>
      <t>Výztuž do podkladního betonu</t>
    </r>
    <r>
      <rPr>
        <sz val="10"/>
        <rFont val="Arial"/>
        <family val="2"/>
        <charset val="238"/>
      </rPr>
      <t>, kari síť Ø6, 100*100mm, výměra: 1,325bm*1,625bm=2,15m2</t>
    </r>
  </si>
  <si>
    <r>
      <rPr>
        <b/>
        <sz val="10"/>
        <rFont val="Arial"/>
        <family val="2"/>
        <charset val="238"/>
      </rPr>
      <t xml:space="preserve">Obetonování plastových </t>
    </r>
    <r>
      <rPr>
        <sz val="10"/>
        <rFont val="Arial"/>
        <family val="2"/>
        <charset val="238"/>
      </rPr>
      <t>šachet z polypropylenu betonem prostým v otevřeném výkopu, beton tř. C 25/30,  vyztuženo, výměra:  (0,90bm+1,625bm)*2ks*1,80bm hl.*0,30bm tl.</t>
    </r>
  </si>
  <si>
    <r>
      <rPr>
        <b/>
        <sz val="10"/>
        <rFont val="Arial"/>
        <family val="2"/>
        <charset val="238"/>
      </rPr>
      <t>Bednění obetonování šachty</t>
    </r>
    <r>
      <rPr>
        <sz val="10"/>
        <rFont val="Arial"/>
        <family val="2"/>
        <charset val="238"/>
      </rPr>
      <t>, výměra: (1,625bm+1,325bm)*2ks*1,80bm hl.</t>
    </r>
  </si>
  <si>
    <r>
      <rPr>
        <b/>
        <sz val="10"/>
        <rFont val="Arial"/>
        <family val="2"/>
        <charset val="238"/>
      </rPr>
      <t>Výztuž do obetonování šachty,</t>
    </r>
    <r>
      <rPr>
        <sz val="10"/>
        <rFont val="Arial"/>
        <family val="2"/>
        <charset val="238"/>
      </rPr>
      <t xml:space="preserve"> 50kg/m3</t>
    </r>
  </si>
  <si>
    <r>
      <rPr>
        <b/>
        <sz val="10"/>
        <rFont val="Arial"/>
        <family val="2"/>
        <charset val="238"/>
      </rPr>
      <t>Montáž - Nerezový žebřík</t>
    </r>
    <r>
      <rPr>
        <sz val="10"/>
        <rFont val="Arial"/>
        <family val="2"/>
        <charset val="238"/>
      </rPr>
      <t>, cca dl. 1500mm, kotvený ke stěně šachty</t>
    </r>
  </si>
  <si>
    <r>
      <rPr>
        <b/>
        <sz val="10"/>
        <rFont val="Arial"/>
        <family val="2"/>
        <charset val="238"/>
      </rPr>
      <t xml:space="preserve">Pevné madlo </t>
    </r>
    <r>
      <rPr>
        <sz val="10"/>
        <rFont val="Arial"/>
        <family val="2"/>
        <charset val="238"/>
      </rPr>
      <t>zakotvené ve stěně, nerez Ø35mm, výměra: 1,80bm*2ks ; dodávka+montáž</t>
    </r>
  </si>
  <si>
    <r>
      <rPr>
        <b/>
        <sz val="10"/>
        <rFont val="Arial"/>
        <family val="2"/>
        <charset val="238"/>
      </rPr>
      <t>Vodoměrná</t>
    </r>
    <r>
      <rPr>
        <sz val="10"/>
        <rFont val="Arial"/>
        <family val="2"/>
        <charset val="238"/>
      </rPr>
      <t xml:space="preserve"> sestava s fakturačním vodoměrem, cenu upřesnit dle montážní dokumentace</t>
    </r>
  </si>
  <si>
    <r>
      <rPr>
        <b/>
        <sz val="10"/>
        <rFont val="Arial"/>
        <family val="2"/>
        <charset val="238"/>
      </rPr>
      <t>Kromě jiných</t>
    </r>
    <r>
      <rPr>
        <sz val="10"/>
        <rFont val="Arial"/>
        <family val="2"/>
        <charset val="238"/>
      </rPr>
      <t xml:space="preserve"> armatur bude osazena také kontrolovatelná zpětná armatura, tedy zpětný ventil (zpětná klapka) se zkušebním kohoutem</t>
    </r>
  </si>
  <si>
    <r>
      <rPr>
        <b/>
        <sz val="10"/>
        <rFont val="Arial"/>
        <family val="2"/>
        <charset val="238"/>
      </rPr>
      <t xml:space="preserve">Přívod do </t>
    </r>
    <r>
      <rPr>
        <sz val="10"/>
        <rFont val="Arial"/>
        <family val="2"/>
        <charset val="238"/>
      </rPr>
      <t>technologické šachty, PE100 SDR11 PN16 40x3,7mm, výměra: 58,84m - dodávka + montáž</t>
    </r>
  </si>
  <si>
    <r>
      <rPr>
        <b/>
        <sz val="10"/>
        <rFont val="Arial"/>
        <family val="2"/>
        <charset val="238"/>
      </rPr>
      <t>Přívod uk</t>
    </r>
    <r>
      <rPr>
        <sz val="10"/>
        <rFont val="Arial"/>
        <family val="2"/>
        <charset val="238"/>
      </rPr>
      <t>ončen v technologické šachtě uzávěrem DN40 , prostup ochráněn ochranným potrubím</t>
    </r>
  </si>
  <si>
    <r>
      <rPr>
        <b/>
        <sz val="10"/>
        <rFont val="Arial"/>
        <family val="2"/>
        <charset val="238"/>
      </rPr>
      <t xml:space="preserve">Napojení </t>
    </r>
    <r>
      <rPr>
        <sz val="10"/>
        <rFont val="Arial"/>
        <family val="2"/>
        <charset val="238"/>
      </rPr>
      <t xml:space="preserve">přívodů k technologii fontány, závlahového systému, mlžení, pítka a kaple. Na jednotlivých větvích osazeny podružné </t>
    </r>
    <r>
      <rPr>
        <b/>
        <sz val="10"/>
        <rFont val="Arial"/>
        <family val="2"/>
        <charset val="238"/>
      </rPr>
      <t xml:space="preserve">vodoměry </t>
    </r>
  </si>
  <si>
    <r>
      <rPr>
        <b/>
        <sz val="10"/>
        <rFont val="Arial"/>
        <family val="2"/>
        <charset val="238"/>
      </rPr>
      <t xml:space="preserve">Uzávěry s vypouštěním, </t>
    </r>
    <r>
      <rPr>
        <sz val="10"/>
        <rFont val="Arial"/>
        <family val="2"/>
        <charset val="238"/>
      </rPr>
      <t xml:space="preserve">u napojení přívodů k technologii fontány, závlahového systému, mlžení, pítka a kaple. </t>
    </r>
  </si>
  <si>
    <r>
      <rPr>
        <b/>
        <sz val="10"/>
        <rFont val="Arial"/>
        <family val="2"/>
        <charset val="238"/>
      </rPr>
      <t xml:space="preserve">Potrubí vodovodní + propojení </t>
    </r>
    <r>
      <rPr>
        <sz val="10"/>
        <rFont val="Arial"/>
        <family val="2"/>
        <charset val="238"/>
      </rPr>
      <t xml:space="preserve"> v technologické šachtě, PE100 SDR11 PN16 32x3,0mm, výměra: 1,26bm*2ks+0,96bm+0,66+0,70+0,845+1,065 + 1,215+1,365; kompletní provedení</t>
    </r>
  </si>
  <si>
    <r>
      <rPr>
        <b/>
        <sz val="10"/>
        <rFont val="Arial"/>
        <family val="2"/>
        <charset val="238"/>
      </rPr>
      <t xml:space="preserve">Potrubí vodovodní + propojení k pítku </t>
    </r>
    <r>
      <rPr>
        <sz val="10"/>
        <rFont val="Arial"/>
        <family val="2"/>
        <charset val="238"/>
      </rPr>
      <t xml:space="preserve">a </t>
    </r>
    <r>
      <rPr>
        <b/>
        <sz val="10"/>
        <rFont val="Arial"/>
        <family val="2"/>
        <charset val="238"/>
      </rPr>
      <t>mlžítku</t>
    </r>
    <r>
      <rPr>
        <sz val="10"/>
        <rFont val="Arial"/>
        <family val="2"/>
        <charset val="238"/>
      </rPr>
      <t>, PE100 SDR11 PN16 32x3,0mm, výměra: 39,70m ; kompletní provedení</t>
    </r>
  </si>
  <si>
    <r>
      <rPr>
        <b/>
        <sz val="10"/>
        <rFont val="Arial"/>
        <family val="2"/>
        <charset val="238"/>
      </rPr>
      <t>Instalační armaturní šachta</t>
    </r>
    <r>
      <rPr>
        <sz val="10"/>
        <rFont val="Arial"/>
        <family val="2"/>
        <charset val="238"/>
      </rPr>
      <t xml:space="preserve"> KS 1000/950m (s poklopem pro zadláždění)  pro umístění externího ventilu mlžítka a uzavíracího ventilu pro pítko ; kompletní provedení</t>
    </r>
  </si>
  <si>
    <r>
      <rPr>
        <b/>
        <sz val="10"/>
        <rFont val="Arial"/>
        <family val="2"/>
        <charset val="238"/>
      </rPr>
      <t>Podkladní beton C25/30</t>
    </r>
    <r>
      <rPr>
        <sz val="10"/>
        <rFont val="Arial"/>
        <family val="2"/>
        <charset val="238"/>
      </rPr>
      <t xml:space="preserve"> vyztuženo kari sítí, výměra : 1,10bm*1,00*0,20bm hl.</t>
    </r>
  </si>
  <si>
    <r>
      <rPr>
        <b/>
        <sz val="10"/>
        <rFont val="Arial"/>
        <family val="2"/>
        <charset val="238"/>
      </rPr>
      <t>Výztuž do podkladního betonu</t>
    </r>
    <r>
      <rPr>
        <sz val="10"/>
        <rFont val="Arial"/>
        <family val="2"/>
        <charset val="238"/>
      </rPr>
      <t>, kari síť Ø6, 100*100mm, výměra: 1,10bm*1,00bm</t>
    </r>
  </si>
  <si>
    <r>
      <rPr>
        <b/>
        <sz val="10"/>
        <rFont val="Arial"/>
        <family val="2"/>
        <charset val="238"/>
      </rPr>
      <t>Obsyp vodoměrné šachty,</t>
    </r>
    <r>
      <rPr>
        <sz val="10"/>
        <rFont val="Arial"/>
        <family val="2"/>
        <charset val="238"/>
      </rPr>
      <t xml:space="preserve"> zhutněno, tl. 100mm, výměra:(1,00+0,10*2+0,90)*2*0,10bm š.*1,40 bm hl.</t>
    </r>
  </si>
  <si>
    <r>
      <rPr>
        <b/>
        <sz val="10"/>
        <rFont val="Arial"/>
        <family val="2"/>
        <charset val="238"/>
      </rPr>
      <t xml:space="preserve">Betonový základ-pítka,  </t>
    </r>
    <r>
      <rPr>
        <sz val="10"/>
        <rFont val="Arial"/>
        <family val="2"/>
        <charset val="238"/>
      </rPr>
      <t>pod pítko včetně výztuže a přípravy kotvení, na zhutněný povrch, cca výměra: 1,500*0,70*0,80bm, C 25/30</t>
    </r>
  </si>
  <si>
    <r>
      <rPr>
        <b/>
        <sz val="10"/>
        <rFont val="Arial"/>
        <family val="2"/>
        <charset val="238"/>
      </rPr>
      <t>Bednění</t>
    </r>
    <r>
      <rPr>
        <sz val="10"/>
        <rFont val="Arial"/>
        <family val="2"/>
        <charset val="238"/>
      </rPr>
      <t xml:space="preserve">  základové patky pod pítko; Zřízení a odstranění</t>
    </r>
  </si>
  <si>
    <r>
      <rPr>
        <b/>
        <sz val="10"/>
        <rFont val="Arial"/>
        <family val="2"/>
        <charset val="238"/>
      </rPr>
      <t xml:space="preserve">Výztuž do betonové </t>
    </r>
    <r>
      <rPr>
        <sz val="10"/>
        <rFont val="Arial"/>
        <family val="2"/>
        <charset val="238"/>
      </rPr>
      <t>patky 50kg/m3, ocel B500B,:, výměra: 0,50kg/m3 * 0,84m3</t>
    </r>
  </si>
  <si>
    <r>
      <rPr>
        <b/>
        <sz val="10"/>
        <rFont val="Arial"/>
        <family val="2"/>
        <charset val="238"/>
      </rPr>
      <t xml:space="preserve">Betonový základ-patka  </t>
    </r>
    <r>
      <rPr>
        <sz val="10"/>
        <rFont val="Arial"/>
        <family val="2"/>
        <charset val="238"/>
      </rPr>
      <t xml:space="preserve">pro mlžítko včetně přípravy kotvení, cca 4kotvy  na zhutněný   povrch, ; výměra : cca 0,50*0,50*dl.1,0bm, </t>
    </r>
  </si>
  <si>
    <r>
      <rPr>
        <b/>
        <sz val="10"/>
        <rFont val="Arial"/>
        <family val="2"/>
        <charset val="238"/>
      </rPr>
      <t>Propojení k pítku a mlžítku,</t>
    </r>
    <r>
      <rPr>
        <sz val="10"/>
        <rFont val="Arial"/>
        <family val="2"/>
        <charset val="238"/>
      </rPr>
      <t xml:space="preserve"> PE100 SDR11 PN16 32x3,0mm, výměra: 2,05m+1,20bm</t>
    </r>
  </si>
  <si>
    <r>
      <rPr>
        <b/>
        <sz val="10"/>
        <rFont val="Arial"/>
        <family val="2"/>
        <charset val="238"/>
      </rPr>
      <t>Osazení silničního</t>
    </r>
    <r>
      <rPr>
        <sz val="10"/>
        <rFont val="Arial"/>
        <family val="2"/>
        <charset val="238"/>
      </rPr>
      <t xml:space="preserve"> obrubníku betonového stojatého s boční opěrou do lože z betonu prostého</t>
    </r>
  </si>
  <si>
    <r>
      <t>Výztuž z</t>
    </r>
    <r>
      <rPr>
        <sz val="10"/>
        <rFont val="Arial"/>
        <family val="2"/>
        <charset val="238"/>
      </rPr>
      <t>ákladových patek betonářskou</t>
    </r>
    <r>
      <rPr>
        <b/>
        <sz val="10"/>
        <rFont val="Arial"/>
        <family val="2"/>
        <charset val="238"/>
      </rPr>
      <t xml:space="preserve"> ocelí B500B Ø R12 , výměra ; </t>
    </r>
    <r>
      <rPr>
        <sz val="10"/>
        <rFont val="Arial"/>
        <family val="2"/>
        <charset val="238"/>
      </rPr>
      <t>(0,97bm*6ks*0,89kg/bm*9,76*1,20%přesah*0,001</t>
    </r>
  </si>
  <si>
    <t>Ochrana před prorůstáním kořenů kolem základů osvětlovacích těles (ochrana vrstvy z rohoží nebo desek) výměry :  cca 25,0m2*9ks</t>
  </si>
  <si>
    <t>Svařovaná ocelová konstrukce z Jaklů 40x40x4 mm, rozměry (1985+160mm dl. )+1060mm*2 v., 4ks a patních plechů, zabroušené sváry, žárově zinkovaná konstrukce, opatřená nátěrovým systémem s finální barevností RAL 7016 antracitová šedá matná. Kotveno do betonové podkladní části schodiště. Chemická kotva 4 x M12 x 165 ∅15 mm průměr vrtání,  detail kotvení viz RDS.  Kompletní provedení, doprava, příprava a montáž na místě., výměry: (1,985+0,160+1,06*2)bm*4,10kg*4ks, patní plechy 1,00kg*2ks*4ks</t>
  </si>
  <si>
    <t>Okno: svařenec obdélného ocelového profilu 50×20 mm, na němž je nalepeno sklo a našroubovány krycí lišty - horizontální (ohýbané z hliníkového plechu) a vertikální (hliníková tyč plochého průřezu); rám okna nese zámek vitríny, těsnění a úchyty plakátů; okno v otevřeném stavu drží dvě plynové vzpěry 450n.
Zadní stěna: je obdobný svařenec ocelového profilu 50×20 mm jako okno, uzavřený pozinkovaným krycím plechem.
Uchycení informačních materiálů: je řešeno buď pomocí magnetů
Elektro výbava: všechny elektro prvky jsou namontovány uvnitř skříně; ta nese 2 trubice T8, každá s výkonem 36W. V trubici jsou integrovány patice, svorkovnice pro připojení el. přívodu, elektronické předřadníky a jistič kombinovaný s proudovým chráničem; elektrický přívod nohou vitríny.
Základní technické údaje (elektro): typ sítě: 1npe 50 hz, 230 v, ac, tn-s. jištění – jednofázový jistič kombinovaný s proudovým chráničem 10A (b10/1n/003).Instalovaný výkon: cca 0,1 kVa.
barevnost: RAL 7016 antracitová šedá - polyesterový práškový lak v jemné struktuře mat.
Kotvení: kotvení na zhutněném terénu do betonového základu pomocí závitových tyčí M12.</t>
  </si>
  <si>
    <t>výměra kamenná deska fontány: 1,35*((20,40+2,70-0,25-0,60+0,05+0,1*2))</t>
  </si>
  <si>
    <t>výměra podstupnice: podstupnice 0,15*12ks*2ks</t>
  </si>
  <si>
    <r>
      <rPr>
        <b/>
        <sz val="10"/>
        <rFont val="Arial"/>
        <family val="2"/>
        <charset val="238"/>
      </rPr>
      <t>prostup pro vodovod</t>
    </r>
    <r>
      <rPr>
        <sz val="10"/>
        <rFont val="Arial"/>
        <family val="2"/>
        <charset val="238"/>
      </rPr>
      <t xml:space="preserve"> DN 32, 2ks, dl. 450mm, prostup včetně otvoru, chráničky a utěsnění. Kompletní provedení.</t>
    </r>
  </si>
  <si>
    <r>
      <rPr>
        <b/>
        <sz val="10"/>
        <rFont val="Arial"/>
        <family val="2"/>
        <charset val="238"/>
      </rPr>
      <t>odvod vzduchu ve výlezu DN 150,</t>
    </r>
    <r>
      <rPr>
        <sz val="10"/>
        <rFont val="Arial"/>
        <family val="2"/>
        <charset val="238"/>
      </rPr>
      <t>dl. 750mm, 1ks, prostup včetně otvoru, 
chráničky a utěsnění. Kompletní provedení</t>
    </r>
  </si>
  <si>
    <r>
      <rPr>
        <b/>
        <sz val="10"/>
        <rFont val="Arial"/>
        <family val="2"/>
        <charset val="238"/>
      </rPr>
      <t>Prostup</t>
    </r>
    <r>
      <rPr>
        <sz val="10"/>
        <rFont val="Arial"/>
        <family val="2"/>
        <charset val="238"/>
      </rPr>
      <t xml:space="preserve"> pro vodovod DN 40, dl. 450mm, 1ks, 
prostup včetně otvoru a chráničky, Kompletní provedení</t>
    </r>
  </si>
  <si>
    <t>bourání betonů vozovka - nad rámec</t>
  </si>
  <si>
    <t>Zemní práce pro startovací  a cílovou jámu ( hloubení jam, pažení zátažné zřízení a odstranění, odvozy   zeminy na  mezideponii a zpět pro zásyp  (demontáž zpevněných ploch  viz HTU a nové zpevněné plochy viz  SO 101). Zabezpečení výkopů.</t>
  </si>
  <si>
    <r>
      <rPr>
        <b/>
        <sz val="10"/>
        <rFont val="Arial"/>
        <family val="2"/>
        <charset val="238"/>
      </rPr>
      <t xml:space="preserve">Hloubení rýh </t>
    </r>
    <r>
      <rPr>
        <sz val="10"/>
        <rFont val="Arial"/>
        <family val="2"/>
        <charset val="238"/>
      </rPr>
      <t xml:space="preserve">zapažených i nezapažených kabelových rýh ručně včetně urovnání dna s přemístěním výkopku do vzdálenosti 3 m od okraje jámy nebo s naložením na dopravní prostředek šířky 35 cm hloubky 50 cm v hornině třídy těžitelnosti I skupiny 3 </t>
    </r>
  </si>
  <si>
    <r>
      <rPr>
        <b/>
        <sz val="10"/>
        <rFont val="Arial"/>
        <family val="2"/>
        <charset val="238"/>
      </rPr>
      <t>Provizorní</t>
    </r>
    <r>
      <rPr>
        <sz val="10"/>
        <rFont val="Arial"/>
        <family val="2"/>
        <charset val="238"/>
      </rPr>
      <t xml:space="preserve"> zajištění inženýrských sítí ve výkopech při jejich křížení pomocí drátů, dřevěných a plastových prvků apod., kabelů při  křížení s kabelem a případně potrubím</t>
    </r>
  </si>
  <si>
    <r>
      <rPr>
        <b/>
        <sz val="10"/>
        <rFont val="Arial"/>
        <family val="2"/>
        <charset val="238"/>
      </rPr>
      <t>Montáž</t>
    </r>
    <r>
      <rPr>
        <sz val="10"/>
        <rFont val="Arial"/>
        <family val="2"/>
        <charset val="238"/>
      </rPr>
      <t xml:space="preserve"> zemnícího pásku FeZn 30/4</t>
    </r>
  </si>
  <si>
    <r>
      <rPr>
        <b/>
        <sz val="10"/>
        <rFont val="Arial"/>
        <family val="2"/>
        <charset val="238"/>
      </rPr>
      <t xml:space="preserve">Uložení+dodání </t>
    </r>
    <r>
      <rPr>
        <sz val="10"/>
        <rFont val="Arial"/>
        <family val="2"/>
        <charset val="238"/>
      </rPr>
      <t>výstražné folie z PVC šířky 250mm, položenou nad krycí cihlu kabelu  
viz vzorový řez -  trasa 2 - 2</t>
    </r>
  </si>
  <si>
    <r>
      <t xml:space="preserve">Dodávka </t>
    </r>
    <r>
      <rPr>
        <sz val="10"/>
        <rFont val="Arial"/>
        <family val="2"/>
        <charset val="238"/>
      </rPr>
      <t>a osazení - chráničky z novoduru nebo jiného vhodného materiálu osadit do základu pro el. sloupek  včetně vodotěsného utěsnění oboustranně , dl.cca 0,70bm ; 15ks</t>
    </r>
  </si>
  <si>
    <r>
      <rPr>
        <b/>
        <sz val="10"/>
        <rFont val="Arial"/>
        <family val="2"/>
        <charset val="238"/>
      </rPr>
      <t>Hloubení</t>
    </r>
    <r>
      <rPr>
        <sz val="10"/>
        <rFont val="Arial"/>
        <family val="2"/>
        <charset val="238"/>
      </rPr>
      <t xml:space="preserve"> nezapažené jámy ručně pro stožáry nadzemního vedení,  nepažené, hloubky 1,7bm, včetně odvozu vykopané zeminy a skládkovného,  v hornině tř. 3; </t>
    </r>
  </si>
  <si>
    <r>
      <rPr>
        <b/>
        <sz val="10"/>
        <rFont val="Arial"/>
        <family val="2"/>
        <charset val="238"/>
      </rPr>
      <t>Základ</t>
    </r>
    <r>
      <rPr>
        <sz val="10"/>
        <rFont val="Arial"/>
        <family val="2"/>
        <charset val="238"/>
      </rPr>
      <t xml:space="preserve"> - prefabrikát - základová kotvící patka z betonu tř. B20 pro stožáry s předpřipravenými otvory pro vtahování kabelů-; vel. 800/800/1700mm 
výměry : 0,80*0,80*1,7bm - 7ks</t>
    </r>
  </si>
  <si>
    <r>
      <rPr>
        <b/>
        <sz val="10"/>
        <rFont val="Arial"/>
        <family val="2"/>
        <charset val="238"/>
      </rPr>
      <t>Základ</t>
    </r>
    <r>
      <rPr>
        <sz val="10"/>
        <rFont val="Arial"/>
        <family val="2"/>
        <charset val="238"/>
      </rPr>
      <t xml:space="preserve"> - prefabrikát - základová kotvící patka z betonu tř. B20 pro stožáry s předpřipravenými otvory pro vtahování kabelů-; vel. 550/550/1200mm 
výměry : 0,55*0,55*1,2bm - 1ks</t>
    </r>
  </si>
  <si>
    <r>
      <rPr>
        <b/>
        <sz val="10"/>
        <rFont val="Arial"/>
        <family val="2"/>
        <charset val="238"/>
      </rPr>
      <t>Základ</t>
    </r>
    <r>
      <rPr>
        <sz val="10"/>
        <rFont val="Arial"/>
        <family val="2"/>
        <charset val="238"/>
      </rPr>
      <t xml:space="preserve"> - prefabrikát - základová kotvící patka z betonu tř. B20 pro stožáry s předpřipravenými otvory pro vtahování kabelů-; vel. 600/600/1200mm 
výměry : 0,60*0,60*1,2bm - 2ks</t>
    </r>
  </si>
  <si>
    <r>
      <rPr>
        <b/>
        <sz val="10"/>
        <rFont val="Arial"/>
        <family val="2"/>
        <charset val="238"/>
      </rPr>
      <t xml:space="preserve">Hloubení rýh nezapažených </t>
    </r>
    <r>
      <rPr>
        <sz val="10"/>
        <rFont val="Arial"/>
        <family val="2"/>
        <charset val="238"/>
      </rPr>
      <t>š do 800 mm v hornině třídy těžitelnosti I, skupiny 3 objem do 20 m3 strojně</t>
    </r>
  </si>
  <si>
    <r>
      <rPr>
        <b/>
        <sz val="10"/>
        <rFont val="Arial"/>
        <family val="2"/>
        <charset val="238"/>
      </rPr>
      <t>Litinový rošt</t>
    </r>
    <r>
      <rPr>
        <sz val="10"/>
        <rFont val="Arial"/>
        <family val="2"/>
        <charset val="238"/>
      </rPr>
      <t xml:space="preserve"> s designem přírodní motiv, únosnost celé konstrukce žlabu: D400, pro žlab š. 185mm a v. 285mm, dl. 500mm, kompletní provedení</t>
    </r>
  </si>
  <si>
    <r>
      <rPr>
        <b/>
        <sz val="10"/>
        <rFont val="Arial"/>
        <family val="2"/>
        <charset val="238"/>
      </rPr>
      <t>Osazení</t>
    </r>
    <r>
      <rPr>
        <sz val="10"/>
        <rFont val="Arial"/>
        <family val="2"/>
        <charset val="238"/>
      </rPr>
      <t xml:space="preserve"> odvodňovacího žlabu s krycím roštem betonového šířky do 200 mm, výměra: 35bm</t>
    </r>
  </si>
  <si>
    <r>
      <rPr>
        <b/>
        <sz val="10"/>
        <rFont val="Arial"/>
        <family val="2"/>
        <charset val="238"/>
      </rPr>
      <t>Žlab odvodňovací</t>
    </r>
    <r>
      <rPr>
        <sz val="10"/>
        <rFont val="Arial"/>
        <family val="2"/>
        <charset val="238"/>
      </rPr>
      <t xml:space="preserve"> betonový š.185mm v. 285mm s krytem z tvárné litiny tř.D400 dl.1000mm (rošt s designem přírodní motiv)</t>
    </r>
  </si>
  <si>
    <r>
      <rPr>
        <b/>
        <sz val="10"/>
        <rFont val="Arial"/>
        <family val="2"/>
        <charset val="238"/>
      </rPr>
      <t xml:space="preserve">Vpust </t>
    </r>
    <r>
      <rPr>
        <sz val="10"/>
        <rFont val="Arial"/>
        <family val="2"/>
        <charset val="238"/>
      </rPr>
      <t>odtoková betonová š.150mm s krytem z tvárné litiny tř.D400 dl.500mm odtok DN150/200  (rošt s designem přírodní motiv)</t>
    </r>
  </si>
  <si>
    <r>
      <rPr>
        <b/>
        <sz val="10"/>
        <rFont val="Arial"/>
        <family val="2"/>
        <charset val="238"/>
      </rPr>
      <t>Čelní stěna</t>
    </r>
    <r>
      <rPr>
        <sz val="10"/>
        <rFont val="Arial"/>
        <family val="2"/>
        <charset val="238"/>
      </rPr>
      <t xml:space="preserve"> plná žlabu š.150 pozink ocel</t>
    </r>
  </si>
  <si>
    <r>
      <rPr>
        <b/>
        <sz val="10"/>
        <rFont val="Arial"/>
        <family val="2"/>
        <charset val="238"/>
      </rPr>
      <t>Žlab odvodňovací</t>
    </r>
    <r>
      <rPr>
        <sz val="10"/>
        <rFont val="Arial"/>
        <family val="2"/>
        <charset val="238"/>
      </rPr>
      <t xml:space="preserve"> betonový š.185mm v. 285m s krytem z tvárné litiny tř.D400 dl.500mm (rošt s designem přírodní motiv)</t>
    </r>
  </si>
  <si>
    <t>Bezpečnostní přepad DN 150-KG2000 SN 10, roura  bude seříznuta ve sklonu stávajícího břehu (u ústí do rybníka),  ; výměra:38,11bm+1,60bm. 
Kompletní provedení.</t>
  </si>
  <si>
    <r>
      <rPr>
        <b/>
        <sz val="10"/>
        <rFont val="Arial"/>
        <family val="2"/>
        <charset val="238"/>
      </rPr>
      <t>Řízený zemní protlak</t>
    </r>
    <r>
      <rPr>
        <sz val="10"/>
        <rFont val="Arial"/>
        <family val="2"/>
        <charset val="238"/>
      </rPr>
      <t xml:space="preserve"> délky do 50 m hloubky do 6 m s protlačením potrubí vnějšího průměru vrtu do 225 mm v hornině třídy těžitelnosti I a II, skupiny 1 až 4 , </t>
    </r>
    <r>
      <rPr>
        <b/>
        <sz val="10"/>
        <rFont val="Arial"/>
        <family val="2"/>
        <charset val="238"/>
      </rPr>
      <t>ochranná trubka PP DN200,</t>
    </r>
    <r>
      <rPr>
        <sz val="10"/>
        <rFont val="Arial"/>
        <family val="2"/>
        <charset val="238"/>
      </rPr>
      <t xml:space="preserve"> výměra:2,30bm+2,00bm</t>
    </r>
  </si>
  <si>
    <t>Potrubí pod chodníkem a molem provedeno podkopem (protakem), potrubí uloženo v ochranné trubce, ochranná trubka PP DN200, výměra:2,30bm+2,00bm</t>
  </si>
  <si>
    <t>Napojení DV1 DN150 - KG2000 SN10, výměra 14,45bm +1,60bm</t>
  </si>
  <si>
    <r>
      <rPr>
        <b/>
        <sz val="10"/>
        <rFont val="Arial"/>
        <family val="2"/>
        <charset val="238"/>
      </rPr>
      <t>Odvodnění pítka DN125 - KG SN8,</t>
    </r>
    <r>
      <rPr>
        <sz val="10"/>
        <rFont val="Arial"/>
        <family val="2"/>
        <charset val="238"/>
      </rPr>
      <t xml:space="preserve"> výměra: 1,90bm+1,60bm</t>
    </r>
  </si>
  <si>
    <t>Napojení DV2 DN150 - KG2000 SN10, výměra 5,80 bm +1,00bm</t>
  </si>
  <si>
    <r>
      <t xml:space="preserve">Rozebrání dlažeb ze zámkových </t>
    </r>
    <r>
      <rPr>
        <sz val="10"/>
        <rFont val="Arial"/>
        <family val="2"/>
        <charset val="238"/>
      </rPr>
      <t>betonových dlaždic  vozovek  ručně včetně lože a naložení na dopravní  prostředek (k dalšímu použití)</t>
    </r>
  </si>
  <si>
    <r>
      <t xml:space="preserve">Vodorovné přemístění betonových </t>
    </r>
    <r>
      <rPr>
        <sz val="10"/>
        <rFont val="Arial"/>
        <family val="2"/>
        <charset val="238"/>
      </rPr>
      <t>dlaždic 
do 200m, se složením, na mezideponii ke 
zpětnému použití</t>
    </r>
  </si>
  <si>
    <r>
      <rPr>
        <b/>
        <sz val="10"/>
        <rFont val="Arial"/>
        <family val="2"/>
        <charset val="238"/>
      </rPr>
      <t>Podsyp pro uložení</t>
    </r>
    <r>
      <rPr>
        <sz val="10"/>
        <rFont val="Arial"/>
        <family val="2"/>
        <charset val="238"/>
      </rPr>
      <t xml:space="preserve"> potrubí DN 150, pískové zhutněné lože tl. 100mm, výměra: (38,11+5,80+4,31+14,45bm dl.)*0,80bm š.*0,10bm hl. (dodávka+montáž )</t>
    </r>
  </si>
  <si>
    <r>
      <rPr>
        <b/>
        <sz val="10"/>
        <rFont val="Arial"/>
        <family val="2"/>
        <charset val="238"/>
      </rPr>
      <t>Obsyp pro uložení</t>
    </r>
    <r>
      <rPr>
        <sz val="10"/>
        <rFont val="Arial"/>
        <family val="2"/>
        <charset val="238"/>
      </rPr>
      <t xml:space="preserve"> potrubí DN 150, písek, násyp a hutnění po oboustranách trubky po vrstvách dle PD, tl. 500mm, výměra:(38,11+5,80+4,31+14,45bm dl.)*0,80bm š.*0,50bm hl. (dodávka+montáž)</t>
    </r>
  </si>
  <si>
    <r>
      <rPr>
        <b/>
        <sz val="10"/>
        <rFont val="Arial"/>
        <family val="2"/>
        <charset val="238"/>
      </rPr>
      <t xml:space="preserve">Hlavní násyp pro uložení </t>
    </r>
    <r>
      <rPr>
        <sz val="10"/>
        <rFont val="Arial"/>
        <family val="2"/>
        <charset val="238"/>
      </rPr>
      <t>potrubí DN 150, materiál dle PD, hutněný po vrstvách, výměra: (38,11)*0,80*1,15</t>
    </r>
  </si>
  <si>
    <r>
      <rPr>
        <b/>
        <sz val="10"/>
        <rFont val="Arial"/>
        <family val="2"/>
        <charset val="238"/>
      </rPr>
      <t xml:space="preserve">Podsyp pro uložení </t>
    </r>
    <r>
      <rPr>
        <sz val="10"/>
        <rFont val="Arial"/>
        <family val="2"/>
        <charset val="238"/>
      </rPr>
      <t>potrubí DN 200,DN 150, pískové zhutněné lože tl. 100mm, výměra: (1,28+1,10bm dl.)*0,80bm š.*0,10bm hl.</t>
    </r>
  </si>
  <si>
    <r>
      <rPr>
        <b/>
        <sz val="10"/>
        <rFont val="Arial"/>
        <family val="2"/>
        <charset val="238"/>
      </rPr>
      <t xml:space="preserve">Obsyp pro uložení </t>
    </r>
    <r>
      <rPr>
        <sz val="10"/>
        <rFont val="Arial"/>
        <family val="2"/>
        <charset val="238"/>
      </rPr>
      <t>potrubí DN 200,  DN 150,  písek, násyp a hutnění po oboustranách trubky po vrstvách dle PD, tl. 500mm, výměra: (1,28+1,10bm dl.)*0,80bm š.*0,50bm hl.</t>
    </r>
  </si>
  <si>
    <r>
      <rPr>
        <b/>
        <sz val="10"/>
        <rFont val="Arial"/>
        <family val="2"/>
        <charset val="238"/>
      </rPr>
      <t xml:space="preserve">Podsyp pro uložení </t>
    </r>
    <r>
      <rPr>
        <sz val="10"/>
        <rFont val="Arial"/>
        <family val="2"/>
        <charset val="238"/>
      </rPr>
      <t>potrubí DN 125, pískové zhutněné lože tl. 10mm, výměra: (1,90bm dl.)*0,80bm š.*0,10bm hl.</t>
    </r>
  </si>
  <si>
    <r>
      <rPr>
        <b/>
        <sz val="10"/>
        <rFont val="Arial"/>
        <family val="2"/>
        <charset val="238"/>
      </rPr>
      <t>Obsyp pro uložení</t>
    </r>
    <r>
      <rPr>
        <sz val="10"/>
        <rFont val="Arial"/>
        <family val="2"/>
        <charset val="238"/>
      </rPr>
      <t xml:space="preserve"> potrubí DN 125, písek, násyp a hutnění po oboustranách trubky po vrstvách dle PD, tl. 500mm, výměra:(1,90dl.)*0,80bm š.*0,50bm hl.</t>
    </r>
  </si>
  <si>
    <t>celkem bez DPH 21%</t>
  </si>
  <si>
    <t>SO 403 Přeložka optického kabelu T-Mobile</t>
  </si>
  <si>
    <t xml:space="preserve">SO 703 Drobná architektura, podrobnosti viz. PD SO 703 - M01-M21 </t>
  </si>
  <si>
    <t>Detaily viz v.č. D.1.03.02 až 07 + TZ</t>
  </si>
  <si>
    <t>Podrobnosti viz v.č. 19 013 DPS- D.1.04.02 - 04</t>
  </si>
  <si>
    <r>
      <t xml:space="preserve"> SO 702 - TECHNOLOGIE FONTÁNY BĚCHOVICE,</t>
    </r>
    <r>
      <rPr>
        <b/>
        <sz val="10"/>
        <rFont val="Arial Narrow"/>
        <family val="2"/>
        <charset val="238"/>
      </rPr>
      <t xml:space="preserve"> podrobnosti viz. D.1.08.01-12</t>
    </r>
  </si>
  <si>
    <t>SO 702 - ELEKTROTECHNOLOGIE FONTÁNY BĚCHOVICE</t>
  </si>
  <si>
    <t>Podrobnosti viz.- v.č. D.1.07.01 - 35</t>
  </si>
  <si>
    <t>3) Při oceňování díla stavební firmou je PD a TZ technicky i technologicky nadřazena soupisu prací a dodávek s výkazem výměr . Zhotovitel díla odpovídá za to, že provedl kontrolu kompletnosti seznamu operací v soupise prací a dodávek s výkazem výměr a do své nabídky zahrnul veškeré dodávky a kompletní provedení prací nutné k  provedení díla, které je předmětem smlouvy a bude  schopno plnit svoji funkci po dobu několika desítek let.</t>
  </si>
  <si>
    <r>
      <t xml:space="preserve">Sejmutí ornice plochy </t>
    </r>
    <r>
      <rPr>
        <sz val="10"/>
        <rFont val="Arial"/>
        <family val="2"/>
        <charset val="238"/>
      </rPr>
      <t xml:space="preserve">přes 500 m2 tl vrstvy do 300 mm strojně s naložením a vodorovným přemístěním do 50 se složením na mezideponii </t>
    </r>
  </si>
  <si>
    <r>
      <t xml:space="preserve">Vodorovné </t>
    </r>
    <r>
      <rPr>
        <sz val="10"/>
        <rFont val="Arial"/>
        <family val="2"/>
        <charset val="238"/>
      </rPr>
      <t>přemístění do 10000 m výkopku/sypaniny z horniny třídy těžitelnosti I, skupiny 1 až 3</t>
    </r>
  </si>
  <si>
    <r>
      <t xml:space="preserve">Odkopávky a prokopávky </t>
    </r>
    <r>
      <rPr>
        <sz val="10"/>
        <rFont val="Arial"/>
        <family val="2"/>
        <charset val="238"/>
      </rPr>
      <t>se sjezdem  do výkopu  (v navážkách) v hornině cca třídy těžitelnosti III objem do 5000 m3 strojně s naložením na dopravní prostředek</t>
    </r>
  </si>
  <si>
    <r>
      <t xml:space="preserve">Poplatek za uložení </t>
    </r>
    <r>
      <rPr>
        <sz val="10"/>
        <rFont val="Arial"/>
        <family val="2"/>
        <charset val="238"/>
      </rPr>
      <t>nekvalitní ornice na recyklační skládce (skládkovné) kód odpadu 17 05 04</t>
    </r>
  </si>
  <si>
    <r>
      <t xml:space="preserve">Zhutnění podloží </t>
    </r>
    <r>
      <rPr>
        <sz val="10"/>
        <rFont val="Arial"/>
        <family val="2"/>
        <charset val="238"/>
      </rPr>
      <t>po odtěžení zeminy pod násypy z rostlé horniny třídy těžitelnosti I a II, skupiny 1 až 4 z hornin soudržných a nesoudržných na min. 30MPa/m2 viz IGP</t>
    </r>
  </si>
  <si>
    <r>
      <t xml:space="preserve">Bezpečný vstup nebo výstup </t>
    </r>
    <r>
      <rPr>
        <sz val="10"/>
        <rFont val="Arial"/>
        <family val="2"/>
        <charset val="238"/>
      </rPr>
      <t>z výkopu pomocí žebříku zřízení cca, 1,80m</t>
    </r>
  </si>
  <si>
    <r>
      <t>Odstranění podkladu živičného</t>
    </r>
    <r>
      <rPr>
        <sz val="10"/>
        <rFont val="Arial"/>
        <family val="2"/>
        <charset val="238"/>
      </rPr>
      <t> tl 100 mm strojně pl přes 200 m2 (výměra Za poštovskou zahradou 360,62m2+Mladých Běchovic 39,0m2)</t>
    </r>
  </si>
  <si>
    <r>
      <t xml:space="preserve">Odvoz asfaltového </t>
    </r>
    <r>
      <rPr>
        <sz val="10"/>
        <rFont val="Arial"/>
        <family val="2"/>
        <charset val="238"/>
      </rPr>
      <t>koberce  na skládku do 1km;  výměra: (360,62+39,0)m2*0,22</t>
    </r>
  </si>
  <si>
    <r>
      <t>Demontáž souvrství</t>
    </r>
    <r>
      <rPr>
        <sz val="10"/>
        <rFont val="Arial"/>
        <family val="2"/>
        <charset val="238"/>
      </rPr>
      <t xml:space="preserve"> pod zpevněné plochy, (použít k následným násypům) výměra: (360,62+39,0m2+146,97m2+51,06m2+112,89+253,26+75,26+74,65+115,1m2+132,40m2)</t>
    </r>
  </si>
  <si>
    <r>
      <rPr>
        <b/>
        <sz val="10"/>
        <rFont val="Arial"/>
        <family val="2"/>
        <charset val="238"/>
      </rPr>
      <t>Očištění vybouraných</t>
    </r>
    <r>
      <rPr>
        <sz val="10"/>
        <rFont val="Arial"/>
        <family val="2"/>
        <charset val="238"/>
      </rPr>
      <t xml:space="preserve"> obrubníků chodníkových od spojovacího materiálu</t>
    </r>
  </si>
  <si>
    <r>
      <t>Očištění vybouraných</t>
    </r>
    <r>
      <rPr>
        <sz val="10"/>
        <rFont val="Arial"/>
        <family val="2"/>
        <charset val="238"/>
      </rPr>
      <t xml:space="preserve"> obrubníků silničních od spojovacího materiálu</t>
    </r>
  </si>
  <si>
    <r>
      <t xml:space="preserve">Vodorovné přemístění </t>
    </r>
    <r>
      <rPr>
        <sz val="10"/>
        <rFont val="Arial"/>
        <family val="2"/>
        <charset val="238"/>
      </rPr>
      <t xml:space="preserve">betonových obrub do 200m, se složením, na mezideponii ke zpětnému použití ; </t>
    </r>
  </si>
  <si>
    <r>
      <t xml:space="preserve">Rozebrání dlažeb </t>
    </r>
    <r>
      <rPr>
        <sz val="10"/>
        <rFont val="Arial"/>
        <family val="2"/>
        <charset val="238"/>
      </rPr>
      <t>ze zámkových betonových dlaždic komunikací pro pěší ručně včetně lože a naložení na dopravní  prostředek (k dalšímu použití)</t>
    </r>
  </si>
  <si>
    <r>
      <rPr>
        <b/>
        <sz val="10"/>
        <rFont val="Arial"/>
        <family val="2"/>
        <charset val="238"/>
      </rPr>
      <t xml:space="preserve">Vodorovné přemístění </t>
    </r>
    <r>
      <rPr>
        <sz val="10"/>
        <rFont val="Arial"/>
        <family val="2"/>
        <charset val="238"/>
      </rPr>
      <t>žulových  obrub do 200m, se složením, na mezideponii ke zpětnému použití ; 
chodník podél Mlad.Běch.(64,50bm+22,85bm+47,65bm)</t>
    </r>
  </si>
  <si>
    <r>
      <t xml:space="preserve">Nový osvětlovací stožár </t>
    </r>
    <r>
      <rPr>
        <b/>
        <sz val="10"/>
        <rFont val="Arial"/>
        <family val="2"/>
        <charset val="238"/>
      </rPr>
      <t xml:space="preserve">SM1 </t>
    </r>
    <r>
      <rPr>
        <sz val="10"/>
        <rFont val="Arial"/>
        <family val="2"/>
        <charset val="238"/>
      </rPr>
      <t xml:space="preserve">dle výkresu č. 19-013-DPS-D.1-05-02-02 </t>
    </r>
    <r>
      <rPr>
        <b/>
        <sz val="10"/>
        <rFont val="Arial"/>
        <family val="2"/>
        <charset val="238"/>
      </rPr>
      <t>+ příloha "SO 401 Veřejné osvětlení, 01 část světelně technická"</t>
    </r>
    <r>
      <rPr>
        <sz val="10"/>
        <rFont val="Arial"/>
        <family val="2"/>
        <charset val="238"/>
      </rPr>
      <t>,  včetně příslušenství</t>
    </r>
  </si>
  <si>
    <r>
      <t xml:space="preserve">Nový osvětlovací stožár  </t>
    </r>
    <r>
      <rPr>
        <b/>
        <sz val="10"/>
        <rFont val="Arial"/>
        <family val="2"/>
        <charset val="238"/>
      </rPr>
      <t xml:space="preserve">SM2 </t>
    </r>
    <r>
      <rPr>
        <sz val="10"/>
        <rFont val="Arial"/>
        <family val="2"/>
        <charset val="238"/>
      </rPr>
      <t xml:space="preserve">dle výkresu č. 19-013-DPS-D.1-05-02-02 </t>
    </r>
    <r>
      <rPr>
        <b/>
        <sz val="10"/>
        <rFont val="Arial"/>
        <family val="2"/>
        <charset val="238"/>
      </rPr>
      <t>+ příloha "SO 401 Veřejné osvětlení, 01 část světelně technická"</t>
    </r>
    <r>
      <rPr>
        <sz val="10"/>
        <rFont val="Arial"/>
        <family val="2"/>
        <charset val="238"/>
      </rPr>
      <t>,  včetně příslušenství</t>
    </r>
  </si>
  <si>
    <r>
      <t xml:space="preserve">Nový osvětlovací stožár  </t>
    </r>
    <r>
      <rPr>
        <b/>
        <sz val="10"/>
        <rFont val="Arial"/>
        <family val="2"/>
        <charset val="238"/>
      </rPr>
      <t xml:space="preserve">SM3 </t>
    </r>
    <r>
      <rPr>
        <sz val="10"/>
        <rFont val="Arial"/>
        <family val="2"/>
        <charset val="238"/>
      </rPr>
      <t xml:space="preserve">dle výkresu č. 19-013-DPS-D.1-05-02-02 </t>
    </r>
    <r>
      <rPr>
        <b/>
        <sz val="10"/>
        <rFont val="Arial"/>
        <family val="2"/>
        <charset val="238"/>
      </rPr>
      <t>+ příloha "SO 401 Veřejné osvětlení, 01 část světelně technická"</t>
    </r>
    <r>
      <rPr>
        <sz val="10"/>
        <rFont val="Arial"/>
        <family val="2"/>
        <charset val="238"/>
      </rPr>
      <t>,  včetně příslušenství</t>
    </r>
  </si>
  <si>
    <r>
      <t xml:space="preserve">Stávající přepojený stožár </t>
    </r>
    <r>
      <rPr>
        <b/>
        <sz val="10"/>
        <rFont val="Arial"/>
        <family val="2"/>
        <charset val="238"/>
      </rPr>
      <t xml:space="preserve">SPS </t>
    </r>
    <r>
      <rPr>
        <sz val="10"/>
        <rFont val="Arial"/>
        <family val="2"/>
        <charset val="238"/>
      </rPr>
      <t xml:space="preserve">dle výkresu č. 19-013-DPS-D.1-05-02-02 </t>
    </r>
  </si>
  <si>
    <r>
      <t xml:space="preserve">Stávající nově nasmyčkovaný stožár </t>
    </r>
    <r>
      <rPr>
        <b/>
        <sz val="10"/>
        <rFont val="Arial"/>
        <family val="2"/>
        <charset val="238"/>
      </rPr>
      <t xml:space="preserve">SS </t>
    </r>
    <r>
      <rPr>
        <sz val="10"/>
        <rFont val="Arial"/>
        <family val="2"/>
        <charset val="238"/>
      </rPr>
      <t>dle výkresu č. 19-013-DPS-D.1-05-02-02</t>
    </r>
  </si>
  <si>
    <r>
      <t xml:space="preserve">Stávající demontovaný a odpojený  stožár </t>
    </r>
    <r>
      <rPr>
        <b/>
        <sz val="10"/>
        <rFont val="Arial"/>
        <family val="2"/>
        <charset val="238"/>
      </rPr>
      <t xml:space="preserve">SD </t>
    </r>
    <r>
      <rPr>
        <sz val="10"/>
        <rFont val="Arial"/>
        <family val="2"/>
        <charset val="238"/>
      </rPr>
      <t xml:space="preserve">dle výkresu č. 19-013-DPS-D.1-05-02-02 </t>
    </r>
  </si>
  <si>
    <r>
      <t xml:space="preserve">Osvětlovací těleso typ </t>
    </r>
    <r>
      <rPr>
        <b/>
        <sz val="10"/>
        <rFont val="Arial"/>
        <family val="2"/>
        <charset val="238"/>
      </rPr>
      <t xml:space="preserve">F1 </t>
    </r>
    <r>
      <rPr>
        <sz val="10"/>
        <rFont val="Arial"/>
        <family val="2"/>
        <charset val="238"/>
      </rPr>
      <t>vč. výložníku</t>
    </r>
    <r>
      <rPr>
        <b/>
        <sz val="10"/>
        <rFont val="Arial"/>
        <family val="2"/>
        <charset val="238"/>
      </rPr>
      <t xml:space="preserve"> </t>
    </r>
    <r>
      <rPr>
        <sz val="10"/>
        <rFont val="Arial"/>
        <family val="2"/>
        <charset val="238"/>
      </rPr>
      <t xml:space="preserve">dle výkresu č. 19-013-DPS-D.1-05-02-02 </t>
    </r>
    <r>
      <rPr>
        <b/>
        <sz val="10"/>
        <rFont val="Arial"/>
        <family val="2"/>
        <charset val="238"/>
      </rPr>
      <t xml:space="preserve">+ příloha "SO 401 Veřejné osvětlení, 01 část světelně technická" </t>
    </r>
    <r>
      <rPr>
        <sz val="10"/>
        <rFont val="Arial"/>
        <family val="2"/>
        <charset val="238"/>
      </rPr>
      <t>,  včetně příslušenství, kompletní provedení</t>
    </r>
  </si>
  <si>
    <r>
      <t xml:space="preserve">Osvětlovací těleso typ </t>
    </r>
    <r>
      <rPr>
        <b/>
        <sz val="10"/>
        <rFont val="Arial"/>
        <family val="2"/>
        <charset val="238"/>
      </rPr>
      <t xml:space="preserve">F3 </t>
    </r>
    <r>
      <rPr>
        <sz val="10"/>
        <rFont val="Arial"/>
        <family val="2"/>
        <charset val="238"/>
      </rPr>
      <t xml:space="preserve">vč. výložníku dle výkresu č. 19-013-DPS-D.1-05-02-02 </t>
    </r>
    <r>
      <rPr>
        <b/>
        <sz val="10"/>
        <rFont val="Arial"/>
        <family val="2"/>
        <charset val="238"/>
      </rPr>
      <t xml:space="preserve">+ příloha "SO 401 Veřejné osvětlení, 01 část světelně technická" </t>
    </r>
    <r>
      <rPr>
        <sz val="10"/>
        <rFont val="Arial"/>
        <family val="2"/>
        <charset val="238"/>
      </rPr>
      <t>,  včetně příslušenství, kompletní provedení</t>
    </r>
  </si>
  <si>
    <r>
      <rPr>
        <b/>
        <sz val="10"/>
        <rFont val="Arial"/>
        <family val="2"/>
        <charset val="238"/>
      </rPr>
      <t>Kabelové</t>
    </r>
    <r>
      <rPr>
        <sz val="10"/>
        <rFont val="Arial"/>
        <family val="2"/>
        <charset val="238"/>
      </rPr>
      <t xml:space="preserve"> lože včetně podsypu, zhutnění a urovnání povrchu z písku tl. 50mm nad kabel, zakryté cihlami, š. lože do 350mm</t>
    </r>
  </si>
  <si>
    <r>
      <rPr>
        <b/>
        <sz val="10"/>
        <rFont val="Arial"/>
        <family val="2"/>
        <charset val="238"/>
      </rPr>
      <t>Zásyp</t>
    </r>
    <r>
      <rPr>
        <sz val="10"/>
        <rFont val="Arial"/>
        <family val="2"/>
        <charset val="238"/>
      </rPr>
      <t xml:space="preserve"> kabelových rýh ručně včetně zhutnění a uložení výkopku do vrstev a urovnání povrchu š. 350mm hloubky 500mm v hornině tř. 3 (zemina již násypová viz výše, bod 18)</t>
    </r>
  </si>
  <si>
    <r>
      <rPr>
        <b/>
        <sz val="10"/>
        <rFont val="Arial"/>
        <family val="2"/>
        <charset val="238"/>
      </rPr>
      <t xml:space="preserve">Montáž </t>
    </r>
    <r>
      <rPr>
        <sz val="10"/>
        <rFont val="Arial"/>
        <family val="2"/>
        <charset val="238"/>
      </rPr>
      <t>trubek ochranných uložených volně do rýhy ohebných, vnitřního průměru 110mm + konce chráničky zapěnit ; výměry 300bm</t>
    </r>
  </si>
  <si>
    <r>
      <rPr>
        <b/>
        <sz val="10"/>
        <rFont val="Arial"/>
        <family val="2"/>
        <charset val="238"/>
      </rPr>
      <t>Montáž</t>
    </r>
    <r>
      <rPr>
        <sz val="10"/>
        <rFont val="Arial"/>
        <family val="2"/>
        <charset val="238"/>
      </rPr>
      <t xml:space="preserve"> + dodávka , zemnícího pásku FeZn Ø10mm</t>
    </r>
  </si>
  <si>
    <r>
      <rPr>
        <b/>
        <sz val="10"/>
        <rFont val="Arial"/>
        <family val="2"/>
        <charset val="238"/>
      </rPr>
      <t xml:space="preserve">Uložení+dodání </t>
    </r>
    <r>
      <rPr>
        <sz val="10"/>
        <rFont val="Arial"/>
        <family val="2"/>
        <charset val="238"/>
      </rPr>
      <t>výstražné folie z PVC šířky 250mm, položenou nad cihelným krytem  kabelu  
viz vzorový řez - trasa1 - 1</t>
    </r>
  </si>
  <si>
    <t>Podrobnosti viz. D.1.04.03</t>
  </si>
  <si>
    <t>Vstup nebo výstup z výkopu pomocí žebříku zřízení + odstranění</t>
  </si>
  <si>
    <r>
      <t xml:space="preserve">Kladení zámkové </t>
    </r>
    <r>
      <rPr>
        <sz val="10"/>
        <rFont val="Arial"/>
        <family val="2"/>
        <charset val="238"/>
      </rPr>
      <t>dlažby pozemních komunikací tl 80 mm skupiny A pl do 50 m2 (od navrtání na řad k šachtě); výměra : 9,0*1,00</t>
    </r>
  </si>
  <si>
    <r>
      <t>Podklad ze směsi s</t>
    </r>
    <r>
      <rPr>
        <sz val="10"/>
        <rFont val="Arial"/>
        <family val="2"/>
        <charset val="238"/>
      </rPr>
      <t>tmelené cementem SC C 8/10 (KSC I) tl 150 mm</t>
    </r>
  </si>
  <si>
    <r>
      <t xml:space="preserve">Podklad ze štěrkodrtě </t>
    </r>
    <r>
      <rPr>
        <sz val="10"/>
        <rFont val="Arial"/>
        <family val="2"/>
        <charset val="238"/>
      </rPr>
      <t>ŠD tl 200 mm po zhutnění 
 tl 200mm</t>
    </r>
  </si>
  <si>
    <t>Podrobnosti viz. D.1.04.02</t>
  </si>
  <si>
    <r>
      <rPr>
        <b/>
        <sz val="10"/>
        <rFont val="Arial"/>
        <family val="2"/>
        <charset val="238"/>
      </rPr>
      <t>Pítko, ocelové pítko Pítko -</t>
    </r>
    <r>
      <rPr>
        <sz val="10"/>
        <rFont val="Arial"/>
        <family val="2"/>
        <charset val="238"/>
      </rPr>
      <t xml:space="preserve"> Prameník s mřížkou, které se skládá z těla a odtokové mřížky (vlnový prořez). Výška 1200 mm. Výška kohoutku 1100 mm, Odtoková mřížka: Délka 900 mm, šířka 300 mm, tloušťka 5 mm., včetně příslušenství, montáže a kotvení, kompletní provedení</t>
    </r>
  </si>
  <si>
    <r>
      <rPr>
        <b/>
        <sz val="10"/>
        <rFont val="Arial"/>
        <family val="2"/>
        <charset val="238"/>
      </rPr>
      <t>Mlžítko, včetně montáže a kotvení,</t>
    </r>
    <r>
      <rPr>
        <sz val="10"/>
        <rFont val="Arial"/>
        <family val="2"/>
        <charset val="238"/>
      </rPr>
      <t xml:space="preserve"> Mlžící sprcha (mlžítko) v antivandalovém nerezovém provedení umožňuje díky své konstrukci vytváření mlhoviny (mlžný opar) pomocí trysek umístěných v jedné linii pod sebou. Ovládání vody (spouštění vody) do mlžítka je řešeno externě </t>
    </r>
    <r>
      <rPr>
        <b/>
        <sz val="10"/>
        <rFont val="Arial"/>
        <family val="2"/>
        <charset val="238"/>
      </rPr>
      <t>pomocí ventilu na připojovacím potrubí</t>
    </r>
    <r>
      <rPr>
        <sz val="10"/>
        <rFont val="Arial"/>
        <family val="2"/>
        <charset val="238"/>
      </rPr>
      <t xml:space="preserve">. </t>
    </r>
    <r>
      <rPr>
        <b/>
        <sz val="10"/>
        <rFont val="Arial"/>
        <family val="2"/>
        <charset val="238"/>
      </rPr>
      <t>Ventil MS</t>
    </r>
    <r>
      <rPr>
        <sz val="10"/>
        <rFont val="Arial"/>
        <family val="2"/>
        <charset val="238"/>
      </rPr>
      <t xml:space="preserve"> bude osazen v armaturní šachtě v prostoru odbočení potrubí pro pítko. Venti</t>
    </r>
    <r>
      <rPr>
        <b/>
        <sz val="10"/>
        <rFont val="Arial"/>
        <family val="2"/>
        <charset val="238"/>
      </rPr>
      <t>l</t>
    </r>
    <r>
      <rPr>
        <sz val="10"/>
        <rFont val="Arial"/>
        <family val="2"/>
        <charset val="238"/>
      </rPr>
      <t xml:space="preserve"> bude ovládaný </t>
    </r>
    <r>
      <rPr>
        <b/>
        <sz val="10"/>
        <rFont val="Arial"/>
        <family val="2"/>
        <charset val="238"/>
      </rPr>
      <t>elektronickou řídící jednotkou.</t>
    </r>
    <r>
      <rPr>
        <sz val="10"/>
        <rFont val="Arial"/>
        <family val="2"/>
        <charset val="238"/>
      </rPr>
      <t xml:space="preserve"> Včetně příslušenství, montáže a kotvení, kompletní provedení.
Technické parametry:
materiál: nerez, AISI 304, povrch kartáčovaný
připojení vody: G 1/2 (jedná se o připojovací parametr do mlžítka)
průtok: 1 tryska má průtok 40 litrů/hod. (možno dodat trysky s průtokem 6 litrů/hod.)
Stavební připravenost:
1. Připravená zpevněná plocha (např. betonová plocha) pro upevnění kotevní konstrukce viz. schéma
2. Připraven přívod vody z vodovodního řádu</t>
    </r>
  </si>
  <si>
    <r>
      <rPr>
        <b/>
        <sz val="10"/>
        <rFont val="Arial"/>
        <family val="2"/>
        <charset val="238"/>
      </rPr>
      <t>Kabelové lože 1-1 dle v.č. .19-013-DPS-D.1-05-02-02</t>
    </r>
    <r>
      <rPr>
        <sz val="10"/>
        <rFont val="Arial"/>
        <family val="2"/>
        <charset val="238"/>
      </rPr>
      <t xml:space="preserve">  (vč. hloubení výkopů 35x50cm, reailzace pískového lože, položení krycí cihly a krycí fólie, hutnění materiálu, odvozu přebytečné zeminy) </t>
    </r>
  </si>
  <si>
    <r>
      <rPr>
        <b/>
        <sz val="10"/>
        <rFont val="Arial"/>
        <family val="2"/>
        <charset val="238"/>
      </rPr>
      <t>Osazení betonového obrubníku</t>
    </r>
    <r>
      <rPr>
        <sz val="10"/>
        <rFont val="Arial"/>
        <family val="2"/>
        <charset val="238"/>
      </rPr>
      <t> chodníkového 
ležatého do betonu při elektromontážích (dodávka z demontáže)</t>
    </r>
  </si>
  <si>
    <t>Pozn. V době zpracování DPS byly HDPE trubky T-Mobile prázdné bez kabelu, ale je tam již jeden kabel naplánován. 
Tento výkaz výměr a vůlbec celá DPS je na prázdné HDPE trubky.</t>
  </si>
  <si>
    <r>
      <t>m</t>
    </r>
    <r>
      <rPr>
        <vertAlign val="superscript"/>
        <sz val="9"/>
        <rFont val="Arial"/>
        <family val="2"/>
        <charset val="238"/>
      </rPr>
      <t>3</t>
    </r>
  </si>
  <si>
    <r>
      <t xml:space="preserve">Sdružená cena rýhy 35x60 - </t>
    </r>
    <r>
      <rPr>
        <b/>
        <sz val="9"/>
        <color indexed="8"/>
        <rFont val="Arial"/>
        <family val="2"/>
        <charset val="238"/>
      </rPr>
      <t>mozaika</t>
    </r>
    <r>
      <rPr>
        <sz val="9"/>
        <color indexed="8"/>
        <rFont val="Arial"/>
        <family val="2"/>
        <charset val="238"/>
      </rPr>
      <t xml:space="preserve"> - </t>
    </r>
    <r>
      <rPr>
        <u/>
        <sz val="9"/>
        <color indexed="8"/>
        <rFont val="Arial"/>
        <family val="2"/>
        <charset val="238"/>
      </rPr>
      <t>výkop ručně</t>
    </r>
  </si>
  <si>
    <r>
      <t xml:space="preserve">Sdružená cena rýhy 35x60 - </t>
    </r>
    <r>
      <rPr>
        <b/>
        <sz val="9"/>
        <color indexed="8"/>
        <rFont val="Arial"/>
        <family val="2"/>
        <charset val="238"/>
      </rPr>
      <t>zámková dlažba nebo dlažba</t>
    </r>
    <r>
      <rPr>
        <sz val="9"/>
        <color indexed="8"/>
        <rFont val="Arial"/>
        <family val="2"/>
        <charset val="238"/>
      </rPr>
      <t xml:space="preserve"> - </t>
    </r>
    <r>
      <rPr>
        <u/>
        <sz val="9"/>
        <color indexed="8"/>
        <rFont val="Arial"/>
        <family val="2"/>
        <charset val="238"/>
      </rPr>
      <t>výkop ručně</t>
    </r>
  </si>
  <si>
    <r>
      <t xml:space="preserve">Sdružená cena rýhy 35x80 - </t>
    </r>
    <r>
      <rPr>
        <b/>
        <sz val="9"/>
        <color indexed="8"/>
        <rFont val="Arial"/>
        <family val="2"/>
        <charset val="238"/>
      </rPr>
      <t>volný terén</t>
    </r>
    <r>
      <rPr>
        <sz val="9"/>
        <color indexed="8"/>
        <rFont val="Arial"/>
        <family val="2"/>
        <charset val="238"/>
      </rPr>
      <t xml:space="preserve"> -  </t>
    </r>
    <r>
      <rPr>
        <u/>
        <sz val="9"/>
        <color indexed="8"/>
        <rFont val="Arial"/>
        <family val="2"/>
        <charset val="238"/>
      </rPr>
      <t>výkop ručně</t>
    </r>
  </si>
  <si>
    <r>
      <t xml:space="preserve">Sdružená cena rýhy 50x120 - </t>
    </r>
    <r>
      <rPr>
        <b/>
        <sz val="9"/>
        <color indexed="8"/>
        <rFont val="Arial"/>
        <family val="2"/>
        <charset val="238"/>
      </rPr>
      <t>zámková dlažba nebo dlažba</t>
    </r>
    <r>
      <rPr>
        <sz val="9"/>
        <color indexed="8"/>
        <rFont val="Arial"/>
        <family val="2"/>
        <charset val="238"/>
      </rPr>
      <t xml:space="preserve"> - </t>
    </r>
    <r>
      <rPr>
        <u/>
        <sz val="9"/>
        <color indexed="8"/>
        <rFont val="Arial"/>
        <family val="2"/>
        <charset val="238"/>
      </rPr>
      <t>výkop ručně</t>
    </r>
  </si>
  <si>
    <r>
      <t>m</t>
    </r>
    <r>
      <rPr>
        <vertAlign val="superscript"/>
        <sz val="9"/>
        <color indexed="8"/>
        <rFont val="Arial"/>
        <family val="2"/>
        <charset val="238"/>
      </rPr>
      <t>3</t>
    </r>
  </si>
  <si>
    <t>Dtto, avšak montáž, kompletní provedení</t>
  </si>
  <si>
    <t>Dodávka - dubové pražce, úprava výšky pražců dle dokumentace- každý má jinou výšku, 
čela pražců budou zatlačena mřížkou proti praskání, kompletní provedení</t>
  </si>
  <si>
    <t>velikost cca 250 x 150 x cca 1000mm, včetně úpravy výšky, otvorů a příslušenstí, kompletní provedení</t>
  </si>
  <si>
    <t>velikost cca 250 x 150 x cca 2000mm, včetně úpravy výšky, otvorů a příslušenstí, kompletní provedení</t>
  </si>
  <si>
    <t>Ochrana vodotěsné izolace (TVRZENÝ POLYSTYRÉN) tl.50mm, v.č. D.1.07.08, výměra:19,50m2</t>
  </si>
  <si>
    <t>Dřevěná palisáda pražce 250/150mm,  pražce z tvrdého dřeva, na každém trámu 3x otvor průměr 30mm +3x čep, nerezový, průměr 30mm dl.  200mm + otvor na závit průměr 45mm, dl. cca 80mm, impregnace proti dřevokaznému hmyzu, houbám a plísním tlakovou impregnací, ošetření proti šednutí, nátěr lazurou
výměra : (29,50m2*0,15) = 4,43m3, (Podrobnosti viz. D.1.07.06,08,09)</t>
  </si>
  <si>
    <r>
      <t xml:space="preserve">Kamenná deska fontány- žula, tl.60mm ; </t>
    </r>
    <r>
      <rPr>
        <sz val="9"/>
        <rFont val="Arial"/>
        <family val="2"/>
        <charset val="238"/>
      </rPr>
      <t>dodávka</t>
    </r>
    <r>
      <rPr>
        <b/>
        <sz val="10"/>
        <rFont val="Arial"/>
        <family val="2"/>
        <charset val="238"/>
      </rPr>
      <t xml:space="preserve">
v.č. D1.07.09</t>
    </r>
  </si>
  <si>
    <r>
      <rPr>
        <b/>
        <sz val="10"/>
        <rFont val="Arial"/>
        <family val="2"/>
        <charset val="238"/>
      </rPr>
      <t>Hydroizolace stěrková</t>
    </r>
    <r>
      <rPr>
        <sz val="10"/>
        <rFont val="Arial"/>
        <family val="2"/>
        <charset val="238"/>
      </rPr>
      <t xml:space="preserve"> dvousložková  pružná, mrazuvzdorná do venkovního prostředí  ; včetně příslušenství(rohy, dilatace, spoje) </t>
    </r>
    <r>
      <rPr>
        <b/>
        <sz val="10"/>
        <rFont val="Arial"/>
        <family val="2"/>
        <charset val="238"/>
      </rPr>
      <t>tl. 5 mm</t>
    </r>
    <r>
      <rPr>
        <sz val="10"/>
        <rFont val="Arial"/>
        <family val="2"/>
        <charset val="238"/>
      </rPr>
      <t xml:space="preserve">, na ploše vodorovné - kompletní provedení </t>
    </r>
    <r>
      <rPr>
        <b/>
        <sz val="10"/>
        <rFont val="Arial"/>
        <family val="2"/>
        <charset val="238"/>
      </rPr>
      <t>(Podrobnosti viz. D.1.07.06,08,09)</t>
    </r>
  </si>
  <si>
    <r>
      <rPr>
        <b/>
        <sz val="10"/>
        <rFont val="Arial"/>
        <family val="2"/>
        <charset val="238"/>
      </rPr>
      <t>Přesun hmot</t>
    </r>
    <r>
      <rPr>
        <sz val="10"/>
        <rFont val="Arial"/>
        <family val="2"/>
        <charset val="238"/>
      </rPr>
      <t xml:space="preserve"> pro </t>
    </r>
    <r>
      <rPr>
        <b/>
        <sz val="10"/>
        <rFont val="Arial"/>
        <family val="2"/>
        <charset val="238"/>
      </rPr>
      <t>782</t>
    </r>
    <r>
      <rPr>
        <sz val="10"/>
        <rFont val="Arial"/>
        <family val="2"/>
        <charset val="238"/>
      </rPr>
      <t>, 2,21%</t>
    </r>
  </si>
  <si>
    <t>Závitová tyč Ø 20mm, válec se závitem 
Ø 40mm, přivařeno k nerez plechu</t>
  </si>
  <si>
    <r>
      <rPr>
        <b/>
        <sz val="10"/>
        <rFont val="Arial CE"/>
        <charset val="238"/>
      </rPr>
      <t>Doprava, včetně vyložení jeřábem, složení jeřábem na místě, montáž na místě do základu pro sochu</t>
    </r>
    <r>
      <rPr>
        <sz val="10"/>
        <rFont val="Arial CE"/>
        <charset val="238"/>
      </rPr>
      <t>, kompletní provedení</t>
    </r>
  </si>
  <si>
    <r>
      <rPr>
        <b/>
        <sz val="10"/>
        <rFont val="Arial CE"/>
        <charset val="238"/>
      </rPr>
      <t>Dílenská dokumentace</t>
    </r>
    <r>
      <rPr>
        <sz val="10"/>
        <rFont val="Arial CE"/>
        <charset val="238"/>
      </rPr>
      <t xml:space="preserve"> pro konstrukci sochy</t>
    </r>
  </si>
  <si>
    <r>
      <rPr>
        <b/>
        <sz val="10"/>
        <rFont val="Arial CE"/>
        <charset val="238"/>
      </rPr>
      <t>Montáž obkladu</t>
    </r>
    <r>
      <rPr>
        <sz val="10"/>
        <rFont val="Arial CE"/>
        <charset val="238"/>
      </rPr>
      <t xml:space="preserve"> sochy na místě, kompletní provedení</t>
    </r>
  </si>
  <si>
    <r>
      <rPr>
        <b/>
        <sz val="10"/>
        <rFont val="Arial CE"/>
        <charset val="238"/>
      </rPr>
      <t>Dílenská dokumentace obkladu sochy</t>
    </r>
    <r>
      <rPr>
        <sz val="10"/>
        <rFont val="Arial CE"/>
        <charset val="238"/>
      </rPr>
      <t xml:space="preserve"> kazetami z CUAl5Zn5Sn1</t>
    </r>
  </si>
  <si>
    <r>
      <rPr>
        <b/>
        <sz val="10"/>
        <rFont val="Arial CE"/>
        <charset val="238"/>
      </rPr>
      <t xml:space="preserve">Napojení potrubí </t>
    </r>
    <r>
      <rPr>
        <sz val="10"/>
        <rFont val="Arial CE"/>
        <charset val="238"/>
      </rPr>
      <t>technologie fontány ze základu do nohou sochy, vnitřkem sochy bude procházet potrubí technologie fontány, včetně kotvení, kompletní provedení</t>
    </r>
  </si>
  <si>
    <r>
      <rPr>
        <b/>
        <sz val="10"/>
        <rFont val="Arial CE"/>
        <charset val="238"/>
      </rPr>
      <t xml:space="preserve">Kotvy  chemické </t>
    </r>
    <r>
      <rPr>
        <sz val="10"/>
        <rFont val="Arial CE"/>
        <charset val="238"/>
      </rPr>
      <t>s vyvrtáním otvoru do žlb, rozměření, vrtání a spotřeba vrtáku, vrtání příklepovými vrtáky diamantovými korunkami, dodání a zasunutí kotev. šroubu + výplň kotevním tmelem nebo patronou a dotažení matice. Kompletní provedení</t>
    </r>
  </si>
  <si>
    <r>
      <rPr>
        <b/>
        <sz val="10"/>
        <rFont val="Arial CE"/>
        <charset val="238"/>
      </rPr>
      <t xml:space="preserve">Socha bude obložená plechovými kazetami z materiálu slitiny mědi, která si drží stále zlatou barevnost - slitina CUAl5Zn5Sn1. </t>
    </r>
    <r>
      <rPr>
        <sz val="10"/>
        <rFont val="Arial CE"/>
        <charset val="238"/>
      </rPr>
      <t xml:space="preserve">
Obkladový plech bude tlustý 1,5 mm. Dodavatel z tohoto plechu vyrobí přesně tvarované kazety, které se na nerezovou konstrukci přikotví, cena včetně započítání prořezu.
Na čelní straně a na zadní straně bude vložena další kazeta s perforací - jména vítězů běhu Běchovice - Praha, viz vizualizace.
</t>
    </r>
  </si>
  <si>
    <t>výpočet je založen na popiskách blokových technologií v mapě (SO 801Vegetační úpravy úpravy – situace)</t>
  </si>
  <si>
    <t>183 10-1215/R</t>
  </si>
  <si>
    <t>184 10-2114/R</t>
  </si>
  <si>
    <t>185 80-2114/R</t>
  </si>
  <si>
    <t>184 21-5133/R</t>
  </si>
  <si>
    <t>184 50-1141/R</t>
  </si>
  <si>
    <t>184 21-5413/R</t>
  </si>
  <si>
    <t>184 91-1421/R</t>
  </si>
  <si>
    <t>185 91-1421/R</t>
  </si>
  <si>
    <t>184 80-1121/R</t>
  </si>
  <si>
    <t>184 80-2613/R</t>
  </si>
  <si>
    <t>184 91-1111/R</t>
  </si>
  <si>
    <t>185 80-4311/R</t>
  </si>
  <si>
    <t>184 21-5173/R</t>
  </si>
  <si>
    <t>184 50-1181/R</t>
  </si>
  <si>
    <t>183 10-1321/R</t>
  </si>
  <si>
    <t>184 21-5211/R</t>
  </si>
  <si>
    <t>183 10-1223/R</t>
  </si>
  <si>
    <t>184 10-2119/R</t>
  </si>
  <si>
    <t>184 21-5213/R</t>
  </si>
  <si>
    <t>171 20-3111/R</t>
  </si>
  <si>
    <t>181 10-1121/R</t>
  </si>
  <si>
    <t>183 11-1112/R</t>
  </si>
  <si>
    <t>184 10-2111/R</t>
  </si>
  <si>
    <t>184 80-2611/R</t>
  </si>
  <si>
    <t>185 80-4312/R</t>
  </si>
  <si>
    <t>183 21-1322/R</t>
  </si>
  <si>
    <t>181 41-1131/R</t>
  </si>
  <si>
    <t>Kamenný patník s otvorem pro vložení osvětlení 500/360/1200 mm, bude osazeno v SO 402 (D+M)</t>
  </si>
  <si>
    <t>žlab odvodňovací betonový š.150mm s krytem z tvárné litiny tř.D400 dl.1000mm, bude osazeno v SO 301 (D+M)</t>
  </si>
  <si>
    <t>žlab odvodňovací betonový š.150mm s krytem z tvárné litiny tř.D400 dl.500mm,  bude osazeno v SO 301 (D+M)</t>
  </si>
  <si>
    <t>vpust odtoková betonová š.150mm s krytem z tvárné litiny tř.D400 dl.500mm odtok DN150/200,  bude osazeno v SO 301 (D+M)</t>
  </si>
  <si>
    <t>čelní stěna plná žlabu š.150 pozink ocel,  bude osazeno v SO 301 (D+M)</t>
  </si>
  <si>
    <t>Geodetické zaměření z HTU + z SO 101 Komunikace a zpevněné plochy</t>
  </si>
  <si>
    <t>Realizační dokumentace včetně geotechnika z HTU + Realizační dokumentace  z SO 101 Komunikace a zpevněné plochy</t>
  </si>
  <si>
    <t>VRN - GZS</t>
  </si>
  <si>
    <t xml:space="preserve">VRN - GZS </t>
  </si>
  <si>
    <t>Rekapitulace s VRN bez DPH</t>
  </si>
  <si>
    <t>Práce spojené s protlakem</t>
  </si>
  <si>
    <t xml:space="preserve">SO 001 Objekty zařízení staveniště (HTU) </t>
  </si>
  <si>
    <t xml:space="preserve">SO 001 </t>
  </si>
  <si>
    <t>Řízené horizontální vrtání pro dešťovou kanalizaci v hornině tř I a II skupiny 1 až 4 vnějšího průměru do 225 mm</t>
  </si>
  <si>
    <t>Demontáž a zpětná oprava stávajícího opevnění z lomového kamene min. 500mm 
na každou stranu (velké kameny dle stávajících) v betonu, U dlažeb do betonového lože se nejprve na upravený terén rozprostře štěrkopísková podkladní vrstva tl. 100 mm, která zajistí odvodnění podkladu. Následně pak se rozprostře lože ze zavlhlé betonové směsi, do kterého se klade dlažební kámen. Tloušťka betonového lože 
má činit nejméně polovinu tloušťky dlažby. Vytlačená betonová směs lože ve 
spárách bude upěchována tak, aby zůstala volná spára do úrovně, jež nebude výše než min. 100 mm pod horní hranu kamene. Případné nepevné části budou před spárováním odstraněny. Spáry se vyplní a zatřou cementovou maltou tak, aby malta zůstala asi 5 mm pod lícem, výměra min. 1,5m2, Kompletní provedení</t>
  </si>
  <si>
    <t>1.5 Ocel roxor Ø16mm, dl. 300mm, 8 ks</t>
  </si>
  <si>
    <r>
      <rPr>
        <b/>
        <sz val="10"/>
        <rFont val="Arial"/>
        <family val="2"/>
        <charset val="238"/>
      </rPr>
      <t>Hloubení jam</t>
    </r>
    <r>
      <rPr>
        <sz val="10"/>
        <rFont val="Arial"/>
        <family val="2"/>
        <charset val="238"/>
      </rPr>
      <t xml:space="preserve"> v soudržných horninách třídy těžitelnosti I, skupiny 3 ručně</t>
    </r>
  </si>
  <si>
    <r>
      <rPr>
        <b/>
        <sz val="10"/>
        <rFont val="Arial"/>
        <family val="2"/>
        <charset val="238"/>
      </rPr>
      <t>Betonová patka</t>
    </r>
    <r>
      <rPr>
        <sz val="10"/>
        <rFont val="Arial"/>
        <family val="2"/>
        <charset val="238"/>
      </rPr>
      <t xml:space="preserve"> pro lavičku C 12/15 ; výměra 0,60*0,60*0,60*2*12</t>
    </r>
  </si>
  <si>
    <r>
      <rPr>
        <b/>
        <sz val="10"/>
        <rFont val="Arial"/>
        <family val="2"/>
        <charset val="238"/>
      </rPr>
      <t>Vodorovné přemístění</t>
    </r>
    <r>
      <rPr>
        <sz val="10"/>
        <rFont val="Arial"/>
        <family val="2"/>
        <charset val="238"/>
      </rPr>
      <t xml:space="preserve"> do 20 m výkopku/sypaniny z horniny třídy těžitelnosti I, skupiny 1 až 3 na meziskládku a zpět do zásypů</t>
    </r>
  </si>
  <si>
    <r>
      <rPr>
        <b/>
        <sz val="10"/>
        <rFont val="Arial"/>
        <family val="2"/>
        <charset val="238"/>
      </rPr>
      <t xml:space="preserve">Zásyp sypaninou </t>
    </r>
    <r>
      <rPr>
        <sz val="10"/>
        <rFont val="Arial"/>
        <family val="2"/>
        <charset val="238"/>
      </rPr>
      <t xml:space="preserve">se zhutněním </t>
    </r>
  </si>
  <si>
    <r>
      <t xml:space="preserve">Kotvení chemickými kotvami 4ks*M12*dl.165mm*2*12 </t>
    </r>
    <r>
      <rPr>
        <sz val="10"/>
        <rFont val="Arial"/>
        <family val="2"/>
        <charset val="238"/>
      </rPr>
      <t>včetně vyvrtání děr do betonového základu</t>
    </r>
  </si>
  <si>
    <r>
      <rPr>
        <b/>
        <sz val="10"/>
        <rFont val="Arial"/>
        <family val="2"/>
        <charset val="238"/>
      </rPr>
      <t>Spodní stavba</t>
    </r>
    <r>
      <rPr>
        <sz val="10"/>
        <rFont val="Arial"/>
        <family val="2"/>
        <charset val="238"/>
      </rPr>
      <t xml:space="preserve"> - skryté kotvení každé nohy do betonového základu 400x400x400 mm pomocí závitových tyčí 4xM12x165mm dl. , průměr vrtání 14 mm, délka vrtání cca 130 mm, na jeden kruh celkem 8 betonových základů, beton C12/15, výměra: </t>
    </r>
    <r>
      <rPr>
        <b/>
        <sz val="10"/>
        <rFont val="Arial"/>
        <family val="2"/>
        <charset val="238"/>
      </rPr>
      <t xml:space="preserve">betonový základ C12/15 </t>
    </r>
    <r>
      <rPr>
        <sz val="10"/>
        <rFont val="Arial"/>
        <family val="2"/>
        <charset val="238"/>
      </rPr>
      <t>0,40*0,40*0,40*8*3 +</t>
    </r>
    <r>
      <rPr>
        <b/>
        <sz val="10"/>
        <rFont val="Arial"/>
        <family val="2"/>
        <charset val="238"/>
      </rPr>
      <t>výkop zeminy</t>
    </r>
    <r>
      <rPr>
        <sz val="10"/>
        <rFont val="Arial"/>
        <family val="2"/>
        <charset val="238"/>
      </rPr>
      <t xml:space="preserve">: 0,40*0,40*0,70*8*3 +  +  </t>
    </r>
    <r>
      <rPr>
        <b/>
        <sz val="10"/>
        <rFont val="Arial"/>
        <family val="2"/>
        <charset val="238"/>
      </rPr>
      <t>chemické kotvy</t>
    </r>
    <r>
      <rPr>
        <sz val="10"/>
        <rFont val="Arial"/>
        <family val="2"/>
        <charset val="238"/>
      </rPr>
      <t xml:space="preserve">  4*M12 dl.165mm*8*3- kompletní provedení</t>
    </r>
  </si>
  <si>
    <r>
      <rPr>
        <b/>
        <sz val="10"/>
        <rFont val="Arial"/>
        <family val="2"/>
        <charset val="238"/>
      </rPr>
      <t>Spodní stavba</t>
    </r>
    <r>
      <rPr>
        <sz val="10"/>
        <rFont val="Arial"/>
        <family val="2"/>
        <charset val="238"/>
      </rPr>
      <t xml:space="preserve"> - kotvení do betonového základu cca 250x800x200 mm pomocí závitových tyčí 4xM10x165mm dl. na jedno lehátko 2 základy, beton C12/15, výměra: </t>
    </r>
    <r>
      <rPr>
        <b/>
        <sz val="10"/>
        <rFont val="Arial"/>
        <family val="2"/>
        <charset val="238"/>
      </rPr>
      <t xml:space="preserve">betonový základ C12/15 </t>
    </r>
    <r>
      <rPr>
        <sz val="10"/>
        <rFont val="Arial"/>
        <family val="2"/>
        <charset val="238"/>
      </rPr>
      <t>0,25*0,80*0,20*2*6 +</t>
    </r>
    <r>
      <rPr>
        <b/>
        <sz val="10"/>
        <rFont val="Arial"/>
        <family val="2"/>
        <charset val="238"/>
      </rPr>
      <t>výkop zeminy</t>
    </r>
    <r>
      <rPr>
        <sz val="10"/>
        <rFont val="Arial"/>
        <family val="2"/>
        <charset val="238"/>
      </rPr>
      <t xml:space="preserve">: 0,25*0,80*0,40*2*6 +  </t>
    </r>
    <r>
      <rPr>
        <b/>
        <sz val="10"/>
        <rFont val="Arial"/>
        <family val="2"/>
        <charset val="238"/>
      </rPr>
      <t>chemické kotvy</t>
    </r>
    <r>
      <rPr>
        <sz val="10"/>
        <rFont val="Arial"/>
        <family val="2"/>
        <charset val="238"/>
      </rPr>
      <t xml:space="preserve">  4*M10 dl.165mm*6 - kompletní proveden</t>
    </r>
  </si>
  <si>
    <r>
      <rPr>
        <b/>
        <sz val="10"/>
        <rFont val="Arial"/>
        <family val="2"/>
        <charset val="238"/>
      </rPr>
      <t>Betonová patka</t>
    </r>
    <r>
      <rPr>
        <sz val="10"/>
        <rFont val="Arial"/>
        <family val="2"/>
        <charset val="238"/>
      </rPr>
      <t xml:space="preserve"> pro lavičku C 12/15 ; výměra 0,60*0,60*1,00*14</t>
    </r>
  </si>
  <si>
    <r>
      <t xml:space="preserve">Kotvení chemickými kotvami 4ks*M12*dl.165mm*2*14 </t>
    </r>
    <r>
      <rPr>
        <sz val="10"/>
        <rFont val="Arial"/>
        <family val="2"/>
        <charset val="238"/>
      </rPr>
      <t>včetně vyvrtání děr do betonového základu</t>
    </r>
  </si>
  <si>
    <r>
      <rPr>
        <b/>
        <sz val="10"/>
        <rFont val="Arial"/>
        <family val="2"/>
        <charset val="238"/>
      </rPr>
      <t>Spodní stavba</t>
    </r>
    <r>
      <rPr>
        <sz val="10"/>
        <rFont val="Arial"/>
        <family val="2"/>
        <charset val="238"/>
      </rPr>
      <t xml:space="preserve"> - skryté kotvení každé nohy do betonového základu 400x400x400 mm pomocí závitových tyčí 4xM12x165mm dl.,  beton C12/15, výměra: </t>
    </r>
    <r>
      <rPr>
        <b/>
        <sz val="10"/>
        <rFont val="Arial"/>
        <family val="2"/>
        <charset val="238"/>
      </rPr>
      <t xml:space="preserve">betonový základ C12/15 </t>
    </r>
    <r>
      <rPr>
        <sz val="10"/>
        <rFont val="Arial"/>
        <family val="2"/>
        <charset val="238"/>
      </rPr>
      <t>0,40*0,40*0,40*3 +</t>
    </r>
    <r>
      <rPr>
        <b/>
        <sz val="10"/>
        <rFont val="Arial"/>
        <family val="2"/>
        <charset val="238"/>
      </rPr>
      <t>výkop zeminy</t>
    </r>
    <r>
      <rPr>
        <sz val="10"/>
        <rFont val="Arial"/>
        <family val="2"/>
        <charset val="238"/>
      </rPr>
      <t xml:space="preserve">: 0,40*0,40*0,60*3 +  </t>
    </r>
    <r>
      <rPr>
        <b/>
        <sz val="10"/>
        <rFont val="Arial"/>
        <family val="2"/>
        <charset val="238"/>
      </rPr>
      <t>chemické kotvy</t>
    </r>
    <r>
      <rPr>
        <sz val="10"/>
        <rFont val="Arial"/>
        <family val="2"/>
        <charset val="238"/>
      </rPr>
      <t xml:space="preserve">  4*M12 dl.165mm*3- kompletní provedení</t>
    </r>
  </si>
  <si>
    <r>
      <rPr>
        <b/>
        <sz val="10"/>
        <rFont val="Arial"/>
        <family val="2"/>
        <charset val="238"/>
      </rPr>
      <t>Spodní stavba</t>
    </r>
    <r>
      <rPr>
        <sz val="10"/>
        <rFont val="Arial"/>
        <family val="2"/>
        <charset val="238"/>
      </rPr>
      <t xml:space="preserve"> - kotvení do betonového základu 240x1493x200 mm pomocí závitových tyčí 4xM12x165mm dl., beton C12/15, výměra: </t>
    </r>
    <r>
      <rPr>
        <b/>
        <sz val="10"/>
        <rFont val="Arial"/>
        <family val="2"/>
        <charset val="238"/>
      </rPr>
      <t xml:space="preserve">betonový základ C12/15 </t>
    </r>
    <r>
      <rPr>
        <sz val="10"/>
        <rFont val="Arial"/>
        <family val="2"/>
        <charset val="238"/>
      </rPr>
      <t xml:space="preserve">0,240*1,493*0,20*2*3 + </t>
    </r>
    <r>
      <rPr>
        <b/>
        <sz val="10"/>
        <rFont val="Arial"/>
        <family val="2"/>
        <charset val="238"/>
      </rPr>
      <t>výkop zeminy</t>
    </r>
    <r>
      <rPr>
        <sz val="10"/>
        <rFont val="Arial"/>
        <family val="2"/>
        <charset val="238"/>
      </rPr>
      <t xml:space="preserve">: 0,24*1,493*0,40*2*3 +  </t>
    </r>
    <r>
      <rPr>
        <b/>
        <sz val="10"/>
        <rFont val="Arial"/>
        <family val="2"/>
        <charset val="238"/>
      </rPr>
      <t>chemické kotvy</t>
    </r>
    <r>
      <rPr>
        <sz val="10"/>
        <rFont val="Arial"/>
        <family val="2"/>
        <charset val="238"/>
      </rPr>
      <t xml:space="preserve">  4ks*M12 dl.165mm*3- kompletní provedení</t>
    </r>
  </si>
  <si>
    <r>
      <rPr>
        <b/>
        <sz val="10"/>
        <rFont val="Arial"/>
        <family val="2"/>
        <charset val="238"/>
      </rPr>
      <t>Spodní stavba</t>
    </r>
    <r>
      <rPr>
        <sz val="10"/>
        <rFont val="Arial"/>
        <family val="2"/>
        <charset val="238"/>
      </rPr>
      <t xml:space="preserve"> - kotvení do betonového základu 450x800x350 mm pomocí závitových tyčí 4xM10x200mm dl., beton C12/15, výměra: betonový základ C12/15 0,45*0,80*0,35*2*6 +výkop zeminy: 0,45*0,80*0,55*2*6+  chemické kotvy  4ks*M10 dl.200mm*6- kompletní provedení</t>
    </r>
  </si>
  <si>
    <r>
      <rPr>
        <b/>
        <sz val="10"/>
        <rFont val="Arial"/>
        <family val="2"/>
        <charset val="238"/>
      </rPr>
      <t>Spodní stavba</t>
    </r>
    <r>
      <rPr>
        <sz val="10"/>
        <rFont val="Arial"/>
        <family val="2"/>
        <charset val="238"/>
      </rPr>
      <t xml:space="preserve"> - kotvení do betonového základu cca 960x960x360mm pomocí  4x chemických kotev, beton C25/30 vyztužen kari sítí, výměra: betonový základ C25/30 (0,96*0,96*0,13+0,72*0,72*0,1+0,42*0,42*0,13)*2 +výkop zeminy: 0,96*0,96*0,56*2+  chemické kotvy  4ks - kompletní provedení, doprava a montáž na místě</t>
    </r>
  </si>
  <si>
    <r>
      <rPr>
        <b/>
        <sz val="10"/>
        <rFont val="Arial"/>
        <family val="2"/>
        <charset val="238"/>
      </rPr>
      <t>Chemická kotva 4 x M12 x 165</t>
    </r>
    <r>
      <rPr>
        <sz val="10"/>
        <rFont val="Arial"/>
        <family val="2"/>
        <charset val="238"/>
      </rPr>
      <t xml:space="preserve"> ∅15 mm průměr vrtání,  detail kotvení viz RDS, včetně vyvrtání děr do betonového základu</t>
    </r>
  </si>
  <si>
    <r>
      <rPr>
        <b/>
        <sz val="10"/>
        <rFont val="Arial"/>
        <family val="2"/>
        <charset val="238"/>
      </rPr>
      <t xml:space="preserve">Všechny </t>
    </r>
    <r>
      <rPr>
        <sz val="10"/>
        <rFont val="Arial"/>
        <family val="2"/>
        <charset val="238"/>
      </rPr>
      <t>nadzemní</t>
    </r>
    <r>
      <rPr>
        <b/>
        <sz val="10"/>
        <rFont val="Arial"/>
        <family val="2"/>
        <charset val="238"/>
      </rPr>
      <t xml:space="preserve"> </t>
    </r>
    <r>
      <rPr>
        <sz val="10"/>
        <rFont val="Arial"/>
        <family val="2"/>
        <charset val="238"/>
      </rPr>
      <t xml:space="preserve">OK budou </t>
    </r>
    <r>
      <rPr>
        <b/>
        <sz val="10"/>
        <rFont val="Arial"/>
        <family val="2"/>
        <charset val="238"/>
      </rPr>
      <t>žárově zinkovány ponořením v horké lázni</t>
    </r>
    <r>
      <rPr>
        <sz val="10"/>
        <rFont val="Arial"/>
        <family val="2"/>
        <charset val="238"/>
      </rPr>
      <t xml:space="preserve"> viz PD -  včetně svarů, šroubů, kotev, atd., včetně dopravy, kompletní provedení</t>
    </r>
  </si>
  <si>
    <r>
      <rPr>
        <b/>
        <sz val="10"/>
        <rFont val="Arial"/>
        <family val="2"/>
        <charset val="238"/>
      </rPr>
      <t>Beton C25/30 XF2</t>
    </r>
    <r>
      <rPr>
        <sz val="10"/>
        <rFont val="Arial"/>
        <family val="2"/>
        <charset val="238"/>
      </rPr>
      <t xml:space="preserve"> ČSN EN 206-1, základové patky pro zábradlí, detail kotvení viz RDS, výměra:0,40bm*0,40*0,40*8ks+0,40bm*0,40*0,40*5ks</t>
    </r>
  </si>
  <si>
    <r>
      <rPr>
        <b/>
        <sz val="10"/>
        <rFont val="Arial"/>
        <family val="2"/>
        <charset val="238"/>
      </rPr>
      <t>Specifikace nerezové zahnuté skluzavky</t>
    </r>
    <r>
      <rPr>
        <sz val="10"/>
        <rFont val="Arial"/>
        <family val="2"/>
        <charset val="238"/>
      </rPr>
      <t>:
Koryto 2,1m nástupní výška, 60cm šířka (dostatečná pro dospělého), materiál 1.4301 - nerez, zatáčky cca. 140 stupňů,  podpěrné nohy, certifikace.
Před výrobou budou předloženy vzorky materiálu a výrobků
k odsouhlasení hlavnímu architektovi projektu. Kompletní provedení včetně kotvení k základu chemickými kotvami, doprava a montáž.</t>
    </r>
  </si>
  <si>
    <r>
      <rPr>
        <b/>
        <sz val="10"/>
        <rFont val="Arial"/>
        <family val="2"/>
        <charset val="238"/>
      </rPr>
      <t xml:space="preserve">Betonové patky </t>
    </r>
    <r>
      <rPr>
        <sz val="10"/>
        <rFont val="Arial"/>
        <family val="2"/>
        <charset val="238"/>
      </rPr>
      <t xml:space="preserve">pro skluzavku vytvořeny v souladu s dokumentací RDS. </t>
    </r>
  </si>
  <si>
    <r>
      <rPr>
        <b/>
        <sz val="10"/>
        <rFont val="Arial"/>
        <family val="2"/>
        <charset val="238"/>
      </rPr>
      <t>Chemické kotvy</t>
    </r>
    <r>
      <rPr>
        <sz val="10"/>
        <rFont val="Arial"/>
        <family val="2"/>
        <charset val="238"/>
      </rPr>
      <t>, kotvení skluzavky do betonových patek, bližší specifikace v RDS.</t>
    </r>
  </si>
  <si>
    <r>
      <rPr>
        <b/>
        <sz val="10"/>
        <rFont val="Arial"/>
        <family val="2"/>
        <charset val="238"/>
      </rPr>
      <t>Osvětlená vitrína, jednostranná, samostatně stojící, s ocelovou plochou na magnety</t>
    </r>
    <r>
      <rPr>
        <sz val="10"/>
        <rFont val="Arial"/>
        <family val="2"/>
        <charset val="238"/>
      </rPr>
      <t xml:space="preserve">
Charakter konstrukce: ocelová konstrukce je řešena jako dvoudílný výrobek, kde zadní část tvoří skříň vitríny a přední otvíratelné okno vitríny; celá sestava je postavena na dvou robustních nohách; do skříně je vsazena veškerá elektro výbava tohoto zařízení.
Použití: vitrína slouží jako osvětlený nosič informačních nebo i reklamních plakátů; je konstruována do venkovního prostředí.
povrchová úprava: ocelová konstrukce je opatřena ochrannou vrstvou zinku a také práškovým vypalovacím lakem.
Hlavní rám: svařenec tvořený obdélným uzavřeným profilem 70×50 mm a u–profilem 70×40 mm; slouží jako nosič elektro rámu a plexisklových desek upevněných přes plastové úchyty; zajišťuje odvětrání vitríny pomocí diagonálně umístěných otvorů s krycí nerezovou mřížkou proti hmyzu.</t>
    </r>
  </si>
  <si>
    <r>
      <rPr>
        <b/>
        <sz val="10"/>
        <rFont val="Arial"/>
        <family val="2"/>
        <charset val="238"/>
      </rPr>
      <t>Spodní stavba</t>
    </r>
    <r>
      <rPr>
        <sz val="10"/>
        <rFont val="Arial"/>
        <family val="2"/>
        <charset val="238"/>
      </rPr>
      <t xml:space="preserve"> - kotvení do betonového základu 600x800x400mm pomocí závitových tyčí 4xM12x165mm dl., beton C12/15, výměra: </t>
    </r>
    <r>
      <rPr>
        <b/>
        <sz val="10"/>
        <rFont val="Arial"/>
        <family val="2"/>
        <charset val="238"/>
      </rPr>
      <t xml:space="preserve">betonový základ C12/15 </t>
    </r>
    <r>
      <rPr>
        <sz val="10"/>
        <rFont val="Arial"/>
        <family val="2"/>
        <charset val="238"/>
      </rPr>
      <t>0,60*0,80*0,40*2 +</t>
    </r>
    <r>
      <rPr>
        <b/>
        <sz val="10"/>
        <rFont val="Arial"/>
        <family val="2"/>
        <charset val="238"/>
      </rPr>
      <t>výkop zeminy</t>
    </r>
    <r>
      <rPr>
        <sz val="10"/>
        <rFont val="Arial"/>
        <family val="2"/>
        <charset val="238"/>
      </rPr>
      <t xml:space="preserve">: 0,60*0,80*0,60*2+  </t>
    </r>
    <r>
      <rPr>
        <b/>
        <sz val="10"/>
        <rFont val="Arial"/>
        <family val="2"/>
        <charset val="238"/>
      </rPr>
      <t>chemické kotvy</t>
    </r>
    <r>
      <rPr>
        <sz val="10"/>
        <rFont val="Arial"/>
        <family val="2"/>
        <charset val="238"/>
      </rPr>
      <t xml:space="preserve">  4ks*M12 dl.165mm*2- kompletní provedení</t>
    </r>
  </si>
  <si>
    <r>
      <rPr>
        <b/>
        <sz val="10"/>
        <rFont val="Arial"/>
        <family val="2"/>
        <charset val="238"/>
      </rPr>
      <t>Podsyp štěrkodrtí</t>
    </r>
    <r>
      <rPr>
        <sz val="10"/>
        <rFont val="Arial"/>
        <family val="2"/>
        <charset val="238"/>
      </rPr>
      <t>,  fr 16-32mm, zhutněno,  výměra: 0,60*0,80*0,20*2</t>
    </r>
  </si>
  <si>
    <r>
      <rPr>
        <b/>
        <sz val="10"/>
        <rFont val="Arial"/>
        <family val="2"/>
        <charset val="238"/>
      </rPr>
      <t>Nosná kostra</t>
    </r>
    <r>
      <rPr>
        <sz val="10"/>
        <rFont val="Arial"/>
        <family val="2"/>
        <charset val="238"/>
      </rPr>
      <t>: sloup z ocelových trubek 89 × 5 mm a 48,3 × 2,6 mm a výpalků z plechu tloušťky 5 a 10 mm</t>
    </r>
  </si>
  <si>
    <r>
      <t>Směrovky:</t>
    </r>
    <r>
      <rPr>
        <sz val="10"/>
        <rFont val="Arial"/>
        <family val="2"/>
        <charset val="238"/>
      </rPr>
      <t xml:space="preserve"> hliníkový profil obdélného průřezu 120 × 695 × 15 mm zakončený plastovou záslepkou osazený na objímce. 
Severní rozcestník - směrovky ve třech patrech nad sebou, na rozcestníku celkem 6 směrovek
Jižní rozcestník - směrovky ve čtyřech patrech nad sebou, na rozcestníku celkem 12 směrovek</t>
    </r>
  </si>
  <si>
    <r>
      <rPr>
        <b/>
        <sz val="10"/>
        <rFont val="Arial"/>
        <family val="2"/>
        <charset val="238"/>
      </rPr>
      <t>Spodní stavba</t>
    </r>
    <r>
      <rPr>
        <sz val="10"/>
        <rFont val="Arial"/>
        <family val="2"/>
        <charset val="238"/>
      </rPr>
      <t xml:space="preserve"> - skryté kotvení do betonového základu 750x750x600mm pomocí závitových tyčí 4ksxM12x165mm dl., beton C12/15, výměra: </t>
    </r>
    <r>
      <rPr>
        <b/>
        <sz val="10"/>
        <rFont val="Arial"/>
        <family val="2"/>
        <charset val="238"/>
      </rPr>
      <t xml:space="preserve">betonový základ C12/15 </t>
    </r>
    <r>
      <rPr>
        <sz val="10"/>
        <rFont val="Arial"/>
        <family val="2"/>
        <charset val="238"/>
      </rPr>
      <t>0,75*0,75*0,60*2 +</t>
    </r>
    <r>
      <rPr>
        <b/>
        <sz val="10"/>
        <rFont val="Arial"/>
        <family val="2"/>
        <charset val="238"/>
      </rPr>
      <t>výkop zeminy</t>
    </r>
    <r>
      <rPr>
        <sz val="10"/>
        <rFont val="Arial"/>
        <family val="2"/>
        <charset val="238"/>
      </rPr>
      <t xml:space="preserve">: 0,75*0,75*0,80*2+  </t>
    </r>
    <r>
      <rPr>
        <b/>
        <sz val="10"/>
        <rFont val="Arial"/>
        <family val="2"/>
        <charset val="238"/>
      </rPr>
      <t>chemické kotvy</t>
    </r>
    <r>
      <rPr>
        <sz val="10"/>
        <rFont val="Arial"/>
        <family val="2"/>
        <charset val="238"/>
      </rPr>
      <t xml:space="preserve">  4ks*M12 dl.165mm*2- kompletní provedení</t>
    </r>
  </si>
  <si>
    <r>
      <rPr>
        <b/>
        <sz val="10"/>
        <rFont val="Arial"/>
        <family val="2"/>
        <charset val="238"/>
      </rPr>
      <t>Bezpečný polyuretanový povrch EPDM 35mm</t>
    </r>
    <r>
      <rPr>
        <sz val="10"/>
        <rFont val="Arial"/>
        <family val="2"/>
        <charset val="238"/>
      </rPr>
      <t xml:space="preserve"> (25mm SBR + 10mm EPDM)- HIC 1,6m v dané barevnosti</t>
    </r>
  </si>
  <si>
    <r>
      <t xml:space="preserve">Vrchní vrstva -  </t>
    </r>
    <r>
      <rPr>
        <b/>
        <sz val="10"/>
        <rFont val="Arial"/>
        <family val="2"/>
        <charset val="238"/>
      </rPr>
      <t>Celoprobarvený EPDM (Ethylen Propylen Diene Monomer)</t>
    </r>
    <r>
      <rPr>
        <sz val="10"/>
        <rFont val="Arial"/>
        <family val="2"/>
        <charset val="238"/>
      </rPr>
      <t xml:space="preserve"> - gumový granulát je povrch v barevných odstínech je dopadová plocha dle ČSN EN 1177 - (uměle vyrobený kaučuk).</t>
    </r>
  </si>
  <si>
    <r>
      <t xml:space="preserve">Základní vrstva - </t>
    </r>
    <r>
      <rPr>
        <b/>
        <sz val="10"/>
        <rFont val="Arial"/>
        <family val="2"/>
        <charset val="238"/>
      </rPr>
      <t>Spodní vysoce elastická vrstva SBR granulátu (Starene Butadene Rubber)</t>
    </r>
    <r>
      <rPr>
        <sz val="10"/>
        <rFont val="Arial"/>
        <family val="2"/>
        <charset val="238"/>
      </rPr>
      <t xml:space="preserve"> (recyklovaná technická guma smíchaná se speciálním polyuretanovým pojivem). </t>
    </r>
  </si>
  <si>
    <r>
      <rPr>
        <b/>
        <sz val="10"/>
        <rFont val="Arial"/>
        <family val="2"/>
        <charset val="238"/>
      </rPr>
      <t xml:space="preserve">1. Barva EPDM tmavě zelená </t>
    </r>
    <r>
      <rPr>
        <sz val="10"/>
        <rFont val="Arial"/>
        <family val="2"/>
        <charset val="238"/>
      </rPr>
      <t>(pod prvky M13. Skluzavka a M16. Herní prvek ), kompletní provedení</t>
    </r>
  </si>
  <si>
    <r>
      <rPr>
        <b/>
        <sz val="10"/>
        <rFont val="Arial"/>
        <family val="2"/>
        <charset val="238"/>
      </rPr>
      <t xml:space="preserve">2. Barva EPDM světle zelená </t>
    </r>
    <r>
      <rPr>
        <sz val="10"/>
        <rFont val="Arial"/>
        <family val="2"/>
        <charset val="238"/>
      </rPr>
      <t>(pod prvky M13. Skluzavka a M16. Herní prvek ),kompletní provedení</t>
    </r>
  </si>
  <si>
    <r>
      <rPr>
        <b/>
        <sz val="10"/>
        <rFont val="Arial"/>
        <family val="2"/>
        <charset val="238"/>
      </rPr>
      <t>Rozměření</t>
    </r>
    <r>
      <rPr>
        <sz val="10"/>
        <rFont val="Arial"/>
        <family val="2"/>
        <charset val="238"/>
      </rPr>
      <t xml:space="preserve"> grafických motivů na ploše</t>
    </r>
  </si>
  <si>
    <r>
      <t xml:space="preserve">Šachovnice v dlažbě je tvořena kamennými deskami z velmi světlé žuly a velmi tmavého syenitu. Rozměr desek je 300 x 300 mm, tloušťka 120 mm. Viz. SO 101 - Komunikace a zpevněné plochy.  Dlažba je lemována kamenným žulovým řezaným obrubníkem šířky 100 mm. 
</t>
    </r>
    <r>
      <rPr>
        <b/>
        <sz val="10"/>
        <rFont val="Arial"/>
        <family val="2"/>
        <charset val="238"/>
      </rPr>
      <t>Zahradní šachy: plastové šachové figury vysoké 45-65 cm. výška krále je 60 cm. kompletní šachy pro zahradní šachový turnaj.</t>
    </r>
    <r>
      <rPr>
        <sz val="10"/>
        <rFont val="Arial"/>
        <family val="2"/>
        <charset val="238"/>
      </rPr>
      <t xml:space="preserve">
Tyto šachové figurky se vyznačují vysokou stabilitou a detailním propracováním. Figurky jsou lehké a můžou s nimi hrát i děti. Pro větší stabilitu je možné u každé figurky odšroubovat spodní díl a naplnit ho třeba vodou nebo pískem.
figurky jsou vyrobené z plastu a mohou zůstat venku za deště i mrazu.
Sada obsahuje všech 32 šachových figur. Výrobek bude umožňovat samostatné dokupování jednotlivých figur.
Před výrobou budou předloženy vzorky materiálu a výrobků
k odsouhlasení hlavnímu architektovi projektu. 
Kompletní provedení.</t>
    </r>
  </si>
  <si>
    <r>
      <rPr>
        <b/>
        <sz val="10"/>
        <rFont val="Arial"/>
        <family val="2"/>
        <charset val="238"/>
      </rPr>
      <t>Kamenný obrubník</t>
    </r>
    <r>
      <rPr>
        <sz val="10"/>
        <rFont val="Arial"/>
        <family val="2"/>
        <charset val="238"/>
      </rPr>
      <t xml:space="preserve"> 100 x 200x550 mm, šedá žula
uložený do betonového lože s opěrou, kompletní provedení</t>
    </r>
  </si>
  <si>
    <r>
      <rPr>
        <b/>
        <sz val="10"/>
        <rFont val="Arial"/>
        <family val="2"/>
        <charset val="238"/>
      </rPr>
      <t xml:space="preserve">Beton C25/30 XF2 ČSN EN 206-1, betonová opěra </t>
    </r>
    <r>
      <rPr>
        <sz val="10"/>
        <rFont val="Arial"/>
        <family val="2"/>
        <charset val="238"/>
      </rPr>
      <t>kamenného obrubníku, kompletní provedení, včetně výkopu rýhy a zhutnění podloží</t>
    </r>
  </si>
  <si>
    <r>
      <rPr>
        <b/>
        <sz val="10"/>
        <rFont val="Arial"/>
        <family val="2"/>
        <charset val="238"/>
      </rPr>
      <t>Gabionový sloupek</t>
    </r>
    <r>
      <rPr>
        <sz val="10"/>
        <rFont val="Arial"/>
        <family val="2"/>
        <charset val="238"/>
      </rPr>
      <t xml:space="preserve"> o rozměrech 4720x540x1500mm,  skládané lomové kameny frakce cca 125-250 mm, aby nevypadávaly kameny z ocelové sítě, drát ocelový průměru 5mm pozinkovaný, oka sítě 100x50mm, spojování gabionových košů ocelovými spirálami, kotvení a stabilizace gabionové stěny k ocelové rámové pozinkované konstrukci, kompletní provedení</t>
    </r>
  </si>
  <si>
    <r>
      <rPr>
        <b/>
        <sz val="10"/>
        <rFont val="Arial"/>
        <family val="2"/>
        <charset val="238"/>
      </rPr>
      <t>Kapotáž s okapničkou</t>
    </r>
    <r>
      <rPr>
        <sz val="10"/>
        <rFont val="Arial"/>
        <family val="2"/>
        <charset val="238"/>
      </rPr>
      <t>- stříška, boky, záda z pozinkového plechu (pohledové části  RAL 7016 - antracitová šedá) na jaklovou rámovou konstrukci, aby nedocházelo k znehodnocení rozvodné skříně vypadávajícími kameny ze sítě, před předsazená dvířka přesahuje jen okapnička stříšky, nikoliv boky, kompletní provedení, výměra cca: 4,35*0,75+0,36*(4,35*2+0,75*2)</t>
    </r>
  </si>
  <si>
    <r>
      <rPr>
        <b/>
        <sz val="10"/>
        <rFont val="Arial"/>
        <family val="2"/>
        <charset val="238"/>
      </rPr>
      <t>Dvířka</t>
    </r>
    <r>
      <rPr>
        <sz val="10"/>
        <rFont val="Arial"/>
        <family val="2"/>
        <charset val="238"/>
      </rPr>
      <t xml:space="preserve"> cca (950mm(dvoukřídlé dvířka)+645*2+545+1365mm(dvoukřídlé dvířka))x690mm- plechová pozinkovaná osazená do rámečku cca tl. 30mm, předsazeno před rozvodné skříně cca 50mm, dvířka a rám RAL 7016 - antracitová šedá, dvířka vyrobit rozměrově o cca 20mm na každé straně větší než dvířka rozvodných skříní, aby se dvířka rozvodných skříní daly otevřít!!!, uzamykatelné klíčem na fab vložku - konzultovat s Technologie hl. m. Prahy, dvířka a rám kotvit na rámovou jaklovou kci, kompletní provedení</t>
    </r>
  </si>
  <si>
    <r>
      <rPr>
        <b/>
        <sz val="10"/>
        <rFont val="Arial"/>
        <family val="2"/>
        <charset val="238"/>
      </rPr>
      <t>Jaklová rámová pozinkovaná konstrukce</t>
    </r>
    <r>
      <rPr>
        <sz val="10"/>
        <rFont val="Arial"/>
        <family val="2"/>
        <charset val="238"/>
      </rPr>
      <t xml:space="preserve"> z ocelových profilů 60x40x2mm svislých a 40x40x2mm + 60x40x2mm profilů vodorovných, nesoucí rozvodné skříně o výšce 600mm a hloubce 210mm a zároveň tvořící ztužující konstrukci gabionového sloupku, jakly jsou zabetonované do základových patek o rozměru 400x540x800mm, pod celým sloupkem je vylit betonový práh, kompletní provedení,  výměra: ((2,1*5*2+4,34*4+0,3*12)*4,1kg+(0,2*15+0,2*10)*3,25kg+(0,75*2+4,34*2)*3,25kg)</t>
    </r>
  </si>
  <si>
    <r>
      <rPr>
        <b/>
        <sz val="10"/>
        <rFont val="Arial"/>
        <family val="2"/>
        <charset val="238"/>
      </rPr>
      <t>Ocelové pozinkové trubky</t>
    </r>
    <r>
      <rPr>
        <sz val="10"/>
        <rFont val="Arial"/>
        <family val="2"/>
        <charset val="238"/>
      </rPr>
      <t xml:space="preserve"> o jmenovité světlé tl. 80mm pro ochránění procházejících kabelů z rozvodné skříně do země, od UT se napojí ohebné plastové tvrzené trubky o js tl. 80mm, kompletní provedení</t>
    </r>
  </si>
  <si>
    <r>
      <rPr>
        <b/>
        <sz val="10"/>
        <rFont val="Arial"/>
        <family val="2"/>
        <charset val="238"/>
      </rPr>
      <t>Kačírek</t>
    </r>
    <r>
      <rPr>
        <sz val="10"/>
        <rFont val="Arial"/>
        <family val="2"/>
        <charset val="238"/>
      </rPr>
      <t xml:space="preserve"> proti prorůstání trávy, pás š. 200mm, kolem boků i zadní strany gabionu, kompletní provedení</t>
    </r>
  </si>
  <si>
    <r>
      <rPr>
        <b/>
        <sz val="10"/>
        <rFont val="Arial"/>
        <family val="2"/>
        <charset val="238"/>
      </rPr>
      <t>Základová patka</t>
    </r>
    <r>
      <rPr>
        <sz val="10"/>
        <rFont val="Arial"/>
        <family val="2"/>
        <charset val="238"/>
      </rPr>
      <t xml:space="preserve"> o rozměru cca 400x540x800mm+ pod celým sloupkem je vylit betonový práh C 16/20 nXF1 o rozměru cca 4720*540*400mm, kompletní provedení,  výměra: 0,4*0,5*0,8*5+4,72*0,54*0,4</t>
    </r>
  </si>
  <si>
    <r>
      <rPr>
        <b/>
        <sz val="10"/>
        <rFont val="Arial"/>
        <family val="2"/>
        <charset val="238"/>
      </rPr>
      <t>Zemní práce</t>
    </r>
    <r>
      <rPr>
        <sz val="10"/>
        <rFont val="Arial"/>
        <family val="2"/>
        <charset val="238"/>
      </rPr>
      <t xml:space="preserve"> kompletní provedení, výkop - výměra: 0,4*0,5*0,8*5+4,72*0,54*0,4+0,4*0,54*0,1*5+4,72*0,54*0,2</t>
    </r>
  </si>
  <si>
    <r>
      <rPr>
        <b/>
        <sz val="10"/>
        <rFont val="Arial"/>
        <family val="2"/>
        <charset val="238"/>
      </rPr>
      <t>Nálepka na dvířkách</t>
    </r>
    <r>
      <rPr>
        <sz val="10"/>
        <rFont val="Arial"/>
        <family val="2"/>
        <charset val="238"/>
      </rPr>
      <t xml:space="preserve"> rozvodných skříní dle příslušné normy, viz. část PD SO 402, kompletní provedení</t>
    </r>
  </si>
  <si>
    <r>
      <rPr>
        <b/>
        <sz val="10"/>
        <rFont val="Arial"/>
        <family val="2"/>
        <charset val="238"/>
      </rPr>
      <t xml:space="preserve">Úžlabí </t>
    </r>
    <r>
      <rPr>
        <sz val="10"/>
        <rFont val="Arial"/>
        <family val="2"/>
        <charset val="238"/>
      </rPr>
      <t xml:space="preserve">pro odvod povrchové vody mimo prostor sloupku
</t>
    </r>
  </si>
  <si>
    <r>
      <rPr>
        <b/>
        <sz val="10"/>
        <rFont val="Arial"/>
        <family val="2"/>
        <charset val="238"/>
      </rPr>
      <t>Gabionový sloupek</t>
    </r>
    <r>
      <rPr>
        <sz val="10"/>
        <rFont val="Arial"/>
        <family val="2"/>
        <charset val="238"/>
      </rPr>
      <t xml:space="preserve"> o rozměrech 2080x500x1450mm,  skládané lomové kameny frakce cca 125-250 mm, aby nevypadávaly kameny z ocelové sítě, drát ocelový průměru 5mm pozinkovaný, oka sítě 100x50mm, spojování gabionových košů ocelovými spirálami, kotvení a stabilizace gabionové stěny k ocelové rámové pozinkované konstrukci, kompletní provedení</t>
    </r>
  </si>
  <si>
    <r>
      <rPr>
        <b/>
        <sz val="10"/>
        <rFont val="Arial"/>
        <family val="2"/>
        <charset val="238"/>
      </rPr>
      <t>Kapotáž s okapničkou</t>
    </r>
    <r>
      <rPr>
        <sz val="10"/>
        <rFont val="Arial"/>
        <family val="2"/>
        <charset val="238"/>
      </rPr>
      <t>- stříška, boky, záda z pozinkového plechu (pohledové části RAL 7016 - antracitová šedá) na jaklovou rámovou konstrukci, aby nedocházelo k znehodnocení rozvodné skříně vypadávajícími kameny ze sítě, před předsazená dvířka přesahuje jen okapnička stříšky, nikoliv boky, kompletní provedení, výměra cca: 1,70*0,70+0,28*(1,70*2+0,70*2)</t>
    </r>
  </si>
  <si>
    <r>
      <rPr>
        <b/>
        <sz val="10"/>
        <rFont val="Arial"/>
        <family val="2"/>
        <charset val="238"/>
      </rPr>
      <t>Dvířka</t>
    </r>
    <r>
      <rPr>
        <sz val="10"/>
        <rFont val="Arial"/>
        <family val="2"/>
        <charset val="238"/>
      </rPr>
      <t xml:space="preserve"> cca (945mm(dvoukřídlé dvířko)+645)x690mm- plechová pozinkovaná osazená do rámečku cca tl. 30mm, předsazeno před rozvodné skříně cca 50mm, dvířka a rám RAL 7016 - antracitová šedá, dvířka vyrobit rozměrově o cca 20mm na každé straně větší než dvířka rozvodných skříní, aby se dvířka rozvodných skříní daly otevřít!!!, uzamykatelné klíčem na fab vložku - konzultovat s Technologie hl. m. Prahy, dvířka a rám kotvit na rámovou jaklovou kci, kompletní provedení, 2ks</t>
    </r>
  </si>
  <si>
    <r>
      <rPr>
        <b/>
        <sz val="10"/>
        <rFont val="Arial"/>
        <family val="2"/>
        <charset val="238"/>
      </rPr>
      <t>Jaklová rámová pozinkovaná konstrukce</t>
    </r>
    <r>
      <rPr>
        <sz val="10"/>
        <rFont val="Arial"/>
        <family val="2"/>
        <charset val="238"/>
      </rPr>
      <t xml:space="preserve"> z ocelových profilů 60x40x2mm svislých a 40x40x2mm + 60x40x2mm profilů vodorovných, nesoucí rozvodné skříně o výšce 600mm a hloubce 210mm a zároveň tvořící ztužující konstrukci gabionového sloupku, jakly jsou zabetonované do základových patek o rozměru 400x500x800mm, pod celým sloupkem je vylit betonový práh, kompletní provedení, výměra: ((2,1*3*2+2,08*4+0,3*6)*4,1kg+(0,2*10)*3,25kg+(0,70*2+2,08*2)*3,25kg)</t>
    </r>
  </si>
  <si>
    <r>
      <rPr>
        <b/>
        <sz val="10"/>
        <rFont val="Arial"/>
        <family val="2"/>
        <charset val="238"/>
      </rPr>
      <t>Kačírek</t>
    </r>
    <r>
      <rPr>
        <sz val="10"/>
        <rFont val="Arial"/>
        <family val="2"/>
        <charset val="238"/>
      </rPr>
      <t xml:space="preserve"> proti prorůstání trávy, pás š. 200mm, kolem boků i zadní strany gabionu,kompletní provedení</t>
    </r>
  </si>
  <si>
    <r>
      <rPr>
        <b/>
        <sz val="10"/>
        <rFont val="Arial"/>
        <family val="2"/>
        <charset val="238"/>
      </rPr>
      <t>Základová patka</t>
    </r>
    <r>
      <rPr>
        <sz val="10"/>
        <rFont val="Arial"/>
        <family val="2"/>
        <charset val="238"/>
      </rPr>
      <t xml:space="preserve"> o rozměru cca 400x500x800mm+ pod celým sloupkem je vylit betonový práh C 16/20 nXF1 o rozměru cca 2080*500*400mm, kompletní provedení, výměra: 0,4*0,5*0,8*3+2,08*0,50*0,4</t>
    </r>
  </si>
  <si>
    <r>
      <rPr>
        <b/>
        <sz val="10"/>
        <rFont val="Arial"/>
        <family val="2"/>
        <charset val="238"/>
      </rPr>
      <t>Zemní práce</t>
    </r>
    <r>
      <rPr>
        <sz val="10"/>
        <rFont val="Arial"/>
        <family val="2"/>
        <charset val="238"/>
      </rPr>
      <t xml:space="preserve"> kompletní provedení, výkop - výměra: 0,4*0,5*0,8*3+2,08*0,50*0,4+0,4*0,50*0,1*3+2,08*0,50*0,2</t>
    </r>
  </si>
  <si>
    <t>1.1 Ocelová trubka Ø426mm, tl. 8mm, dl. 1,0bm, 1 ks</t>
  </si>
  <si>
    <t>1.3 Ocel. tyč plochá 60x8mm, dl. 190mm, otvor Ø17mm, 8ks</t>
  </si>
  <si>
    <t>3.2,3,4 Ocel tyč Ø25, tl. 5mm - 8ks, 10mm - 8ks, 20m - 8ks, tvar dle PD SO 703</t>
  </si>
  <si>
    <r>
      <rPr>
        <b/>
        <sz val="10"/>
        <rFont val="Arial"/>
        <family val="2"/>
        <charset val="238"/>
      </rPr>
      <t>Kanálový poklop</t>
    </r>
    <r>
      <rPr>
        <sz val="10"/>
        <rFont val="Arial"/>
        <family val="2"/>
        <charset val="238"/>
      </rPr>
      <t xml:space="preserve"> Ø300mm, včetně rámu a osazení, kompletní provedení, 4 ks, k pojezdu</t>
    </r>
  </si>
  <si>
    <r>
      <rPr>
        <b/>
        <sz val="10"/>
        <rFont val="Arial"/>
        <family val="2"/>
        <charset val="238"/>
      </rPr>
      <t>Kanálový poklop</t>
    </r>
    <r>
      <rPr>
        <sz val="10"/>
        <rFont val="Arial"/>
        <family val="2"/>
        <charset val="238"/>
      </rPr>
      <t xml:space="preserve"> Ø625mm, včetně rámu a osazení, kompletní provedení, 1 ks, k pojezdu</t>
    </r>
  </si>
  <si>
    <r>
      <rPr>
        <b/>
        <sz val="10"/>
        <rFont val="Arial"/>
        <family val="2"/>
        <charset val="238"/>
      </rPr>
      <t>Základová patka</t>
    </r>
    <r>
      <rPr>
        <sz val="10"/>
        <rFont val="Arial"/>
        <family val="2"/>
        <charset val="238"/>
      </rPr>
      <t xml:space="preserve">  C 16/20 nXF1 o rozměru cca 1300*1300*1200mm s vetknutou konstrukcí ocelovou, kompletní provedení, výměra: 1,30*1,30*1,20</t>
    </r>
  </si>
  <si>
    <r>
      <rPr>
        <b/>
        <sz val="10"/>
        <rFont val="Arial"/>
        <family val="2"/>
        <charset val="238"/>
      </rPr>
      <t>Podsyp štěrkodrtí</t>
    </r>
    <r>
      <rPr>
        <sz val="10"/>
        <rFont val="Arial"/>
        <family val="2"/>
        <charset val="238"/>
      </rPr>
      <t>, po zhutnění tl.cca 200mm, kompletní provedení, výměra: 1,3*1,3*0,2+0,15*0,15*3,14*0,10</t>
    </r>
  </si>
  <si>
    <r>
      <rPr>
        <b/>
        <sz val="10"/>
        <rFont val="Arial"/>
        <family val="2"/>
        <charset val="238"/>
      </rPr>
      <t>Zemní práce</t>
    </r>
    <r>
      <rPr>
        <sz val="10"/>
        <rFont val="Arial"/>
        <family val="2"/>
        <charset val="238"/>
      </rPr>
      <t xml:space="preserve"> kompletní provedení, výkop - výměra: 1,30*1,30*1,40bm</t>
    </r>
  </si>
  <si>
    <r>
      <rPr>
        <b/>
        <sz val="10"/>
        <rFont val="Arial"/>
        <family val="2"/>
        <charset val="238"/>
      </rPr>
      <t>Betonáž a tvarování 3D valů</t>
    </r>
    <r>
      <rPr>
        <sz val="10"/>
        <rFont val="Arial"/>
        <family val="2"/>
        <charset val="238"/>
      </rPr>
      <t xml:space="preserve"> do požadovaného tvaru - vč. betonu a manipulace</t>
    </r>
  </si>
  <si>
    <r>
      <t xml:space="preserve">Celoprobarvený bezpečný polyuretanový povrch 
EPDM 11mm v dané barevnosti - </t>
    </r>
    <r>
      <rPr>
        <b/>
        <sz val="10"/>
        <rFont val="Arial"/>
        <family val="2"/>
        <charset val="238"/>
      </rPr>
      <t>ZVLNĚNÍ</t>
    </r>
  </si>
  <si>
    <r>
      <rPr>
        <b/>
        <sz val="10"/>
        <rFont val="Arial"/>
        <family val="2"/>
        <charset val="238"/>
      </rPr>
      <t xml:space="preserve">Příplatek za pokládku </t>
    </r>
    <r>
      <rPr>
        <sz val="10"/>
        <rFont val="Arial"/>
        <family val="2"/>
        <charset val="238"/>
      </rPr>
      <t>povrchu na 3D plochy-
zvýšená pracnost a časová náročnost</t>
    </r>
  </si>
  <si>
    <r>
      <rPr>
        <b/>
        <sz val="10"/>
        <rFont val="Arial"/>
        <family val="2"/>
        <charset val="238"/>
      </rPr>
      <t>Grafika</t>
    </r>
    <r>
      <rPr>
        <sz val="10"/>
        <rFont val="Arial"/>
        <family val="2"/>
        <charset val="238"/>
      </rPr>
      <t xml:space="preserve"> z celoprobarveného EPDM (nejedná
se o nástřik) - nápisy</t>
    </r>
  </si>
  <si>
    <r>
      <rPr>
        <b/>
        <sz val="10"/>
        <rFont val="Arial"/>
        <family val="2"/>
        <charset val="238"/>
      </rPr>
      <t xml:space="preserve">Práce na grafice a instalace grafických motivů </t>
    </r>
    <r>
      <rPr>
        <sz val="10"/>
        <rFont val="Arial"/>
        <family val="2"/>
        <charset val="238"/>
      </rPr>
      <t>a prvků do plochy dle grafického návrhu (zahrnuje i speciální polyuretanovou hmotu pro lepení grafických motivů)</t>
    </r>
  </si>
  <si>
    <r>
      <t>Příplatek</t>
    </r>
    <r>
      <rPr>
        <sz val="10"/>
        <rFont val="Arial"/>
        <family val="2"/>
        <charset val="238"/>
      </rPr>
      <t xml:space="preserve"> k vodorovnému přemístění výkopku/sypaniny z horniny třídy těžitelnosti I, skupiny 1 až 3 ZKD 1000 m přes 10000 m
cena(10x 23Kč/1000m)=Kč celkem</t>
    </r>
  </si>
  <si>
    <r>
      <t xml:space="preserve">Příplatek k vodorovnému přemístění výkopku( beton) /sypaniny </t>
    </r>
    <r>
      <rPr>
        <sz val="10"/>
        <rFont val="Arial"/>
        <family val="2"/>
        <charset val="238"/>
      </rPr>
      <t>z horniny třídy těžitelnosti II, skupiny 4 a 5 ZKD 1000 m přes 10000 m (50kmx 27Kč/1000m)=Kč celkem</t>
    </r>
  </si>
  <si>
    <r>
      <t xml:space="preserve">Příplatek k vodorovnému přemístění  (navážka)výkopku/  sypaniny </t>
    </r>
    <r>
      <rPr>
        <sz val="10"/>
        <rFont val="Arial"/>
        <family val="2"/>
        <charset val="238"/>
      </rPr>
      <t>z horniny třídy
 těžitelnosti II, skupiny 4 a 5 ZKD 1000 m 
přes 10000 m 
(10x 27Kč/1000m)=Kč celkem</t>
    </r>
  </si>
  <si>
    <r>
      <t>Poplatek za uložení</t>
    </r>
    <r>
      <rPr>
        <sz val="10"/>
        <rFont val="Arial"/>
        <family val="2"/>
        <charset val="238"/>
      </rPr>
      <t> stavebního odpadu (silniční panely) na skládce (skládkovné) z armovaného betonu pod kódem 17 01 01</t>
    </r>
  </si>
  <si>
    <t>997221645/P</t>
  </si>
  <si>
    <r>
      <t>Poplatek za uložení</t>
    </r>
    <r>
      <rPr>
        <sz val="10"/>
        <rFont val="Arial"/>
        <family val="2"/>
        <charset val="238"/>
      </rPr>
      <t xml:space="preserve"> stavebního odpadu na skládce (skládkovné) za /navážku=popel,cihly,prkénka,dráty/ bez obsahu dehtu zatříděného do Katalogu odpadů pod kódem 17 03 02</t>
    </r>
  </si>
  <si>
    <r>
      <t>Příplatek ZKD 1 km</t>
    </r>
    <r>
      <rPr>
        <sz val="10"/>
        <rFont val="Arial"/>
        <family val="2"/>
        <charset val="238"/>
      </rPr>
      <t xml:space="preserve"> u vodorovné dopravy suti z kusových materiálů do 59km cena: 14,50Kč/km*59km</t>
    </r>
  </si>
  <si>
    <t>CS ÚRS 2022 01</t>
  </si>
  <si>
    <r>
      <rPr>
        <b/>
        <sz val="10"/>
        <rFont val="Arial"/>
        <family val="2"/>
        <charset val="238"/>
      </rPr>
      <t>Příplatek k vodorovnému přemístění</t>
    </r>
    <r>
      <rPr>
        <sz val="10"/>
        <rFont val="Arial"/>
        <family val="2"/>
        <charset val="238"/>
      </rPr>
      <t xml:space="preserve"> výkopku/sypaniny z horniny třídy těžitelnosti II, skupiny 4 a 5 ZKD 1000 m přes 10000 m ; 
cena 27Kč/m3*30km</t>
    </r>
  </si>
  <si>
    <t xml:space="preserve">Štěrkodrť frakce 0-32 </t>
  </si>
  <si>
    <t>kamenivo přírodní drcené pro stavební účely  PTK  (drobné, hrubé, štěrkodrtě) štěrkodrtě ČSN 72  1511-2 frakce   0-32 ; výměra: 4361m3*2,054t</t>
  </si>
  <si>
    <t>CÚ 2022/I</t>
  </si>
  <si>
    <t>Objednatel:</t>
  </si>
  <si>
    <t>IČO:</t>
  </si>
  <si>
    <t>dne</t>
  </si>
  <si>
    <t>Za zhotovitele</t>
  </si>
  <si>
    <t>Za objednatele</t>
  </si>
  <si>
    <t>Českobrodská 3, 190 11 Praha – Běchovice</t>
  </si>
  <si>
    <t>00240044</t>
  </si>
  <si>
    <t>Ostatní práce</t>
  </si>
  <si>
    <t>hydroizolace 2 x sklobit S   6 mm dodávka +  montáž - kompletní provedení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</si>
</sst>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0000"/>
    <numFmt numFmtId="165" formatCode="0.000"/>
    <numFmt numFmtId="166" formatCode="0.0"/>
    <numFmt numFmtId="167" formatCode="#,##0.0"/>
    <numFmt numFmtId="168" formatCode="#,##0.000"/>
    <numFmt numFmtId="169" formatCode="#,##0.00000"/>
    <numFmt numFmtId="170" formatCode="dd\.mm\.yyyy"/>
    <numFmt numFmtId="171" formatCode="#,##0.00%"/>
    <numFmt numFmtId="172" formatCode="mmm\ dd"/>
    <numFmt numFmtId="173" formatCode="#,##0&quot; Kč&quot;;[Red]#,##0&quot; Kč&quot;"/>
  </numFmts>
  <fonts count="132" x14ac:knownFonts="1">
    <font>
      <sz val="10"/>
      <name val="Arial CE"/>
      <charset val="238"/>
    </font>
    <font>
      <sz val="10"/>
      <name val="Arial CE"/>
      <charset val="238"/>
    </font>
    <font>
      <b/>
      <sz val="12"/>
      <name val="Arial"/>
      <family val="2"/>
      <charset val="238"/>
    </font>
    <font>
      <sz val="11"/>
      <name val="Calibri"/>
      <family val="2"/>
      <charset val="238"/>
    </font>
    <font>
      <sz val="10"/>
      <name val="Calibri"/>
      <family val="2"/>
      <charset val="238"/>
    </font>
    <font>
      <sz val="10"/>
      <name val="Arial"/>
      <family val="2"/>
      <charset val="238"/>
    </font>
    <font>
      <sz val="8"/>
      <name val="Calibri"/>
      <family val="2"/>
      <charset val="238"/>
    </font>
    <font>
      <sz val="9"/>
      <name val="Arial"/>
      <family val="2"/>
      <charset val="238"/>
    </font>
    <font>
      <sz val="8"/>
      <name val="Arial"/>
      <family val="2"/>
      <charset val="238"/>
    </font>
    <font>
      <sz val="11"/>
      <name val="Arial"/>
      <family val="2"/>
      <charset val="238"/>
    </font>
    <font>
      <b/>
      <sz val="11"/>
      <name val="Arial"/>
      <family val="2"/>
      <charset val="238"/>
    </font>
    <font>
      <b/>
      <sz val="9"/>
      <name val="Arial"/>
      <family val="2"/>
      <charset val="238"/>
    </font>
    <font>
      <sz val="8"/>
      <name val="Arial CE"/>
      <charset val="238"/>
    </font>
    <font>
      <b/>
      <sz val="10"/>
      <name val="Arial"/>
      <family val="2"/>
      <charset val="238"/>
    </font>
    <font>
      <sz val="12"/>
      <name val="Times New Roman CE"/>
      <charset val="238"/>
    </font>
    <font>
      <i/>
      <sz val="10"/>
      <name val="Arial"/>
      <family val="2"/>
      <charset val="238"/>
    </font>
    <font>
      <b/>
      <sz val="8"/>
      <name val="Arial"/>
      <family val="2"/>
      <charset val="238"/>
    </font>
    <font>
      <b/>
      <sz val="10"/>
      <name val="Arial CE"/>
      <charset val="238"/>
    </font>
    <font>
      <sz val="10"/>
      <name val="Helv"/>
    </font>
    <font>
      <b/>
      <sz val="10"/>
      <name val="Arial CE"/>
      <family val="2"/>
      <charset val="238"/>
    </font>
    <font>
      <sz val="10"/>
      <name val="Arial"/>
      <family val="2"/>
    </font>
    <font>
      <sz val="10"/>
      <name val="Arial CE"/>
      <family val="2"/>
      <charset val="238"/>
    </font>
    <font>
      <b/>
      <sz val="10"/>
      <name val="Calibri"/>
      <family val="2"/>
      <charset val="238"/>
    </font>
    <font>
      <b/>
      <sz val="8"/>
      <name val="Calibri"/>
      <family val="2"/>
      <charset val="238"/>
    </font>
    <font>
      <b/>
      <sz val="14"/>
      <name val="Arial CE"/>
    </font>
    <font>
      <b/>
      <sz val="11"/>
      <name val="Arial CE"/>
    </font>
    <font>
      <sz val="10"/>
      <name val="Arial CE"/>
    </font>
    <font>
      <b/>
      <sz val="10"/>
      <name val="Arial CE"/>
    </font>
    <font>
      <b/>
      <sz val="12"/>
      <name val="Arial CE"/>
    </font>
    <font>
      <sz val="9"/>
      <name val="Arial CE"/>
    </font>
    <font>
      <b/>
      <sz val="8"/>
      <name val="Arial CE"/>
    </font>
    <font>
      <b/>
      <sz val="9"/>
      <name val="Arial CE"/>
    </font>
    <font>
      <sz val="8"/>
      <name val="Trebuchet MS"/>
      <family val="2"/>
      <charset val="238"/>
    </font>
    <font>
      <b/>
      <sz val="16"/>
      <name val="Trebuchet MS"/>
      <family val="2"/>
      <charset val="238"/>
    </font>
    <font>
      <b/>
      <sz val="11"/>
      <name val="Trebuchet MS"/>
      <family val="2"/>
      <charset val="238"/>
    </font>
    <font>
      <sz val="9"/>
      <name val="Trebuchet MS"/>
      <family val="2"/>
      <charset val="238"/>
    </font>
    <font>
      <i/>
      <sz val="8"/>
      <name val="Arial CE"/>
      <charset val="238"/>
    </font>
    <font>
      <b/>
      <sz val="8"/>
      <name val="Arial CE"/>
      <charset val="238"/>
    </font>
    <font>
      <sz val="10"/>
      <name val="Trebuchet MS"/>
      <family val="2"/>
      <charset val="238"/>
    </font>
    <font>
      <sz val="11"/>
      <name val="Trebuchet MS"/>
      <family val="2"/>
      <charset val="238"/>
    </font>
    <font>
      <b/>
      <sz val="9"/>
      <name val="Trebuchet MS"/>
      <family val="2"/>
      <charset val="238"/>
    </font>
    <font>
      <sz val="10"/>
      <name val="Arial Narrow"/>
      <family val="2"/>
      <charset val="238"/>
    </font>
    <font>
      <b/>
      <sz val="15"/>
      <name val="Arial Narrow"/>
      <family val="2"/>
      <charset val="238"/>
    </font>
    <font>
      <b/>
      <sz val="10"/>
      <name val="Arial Narrow"/>
      <family val="2"/>
      <charset val="238"/>
    </font>
    <font>
      <sz val="12"/>
      <name val="Arial Narrow"/>
      <family val="2"/>
      <charset val="238"/>
    </font>
    <font>
      <b/>
      <sz val="12"/>
      <name val="Arial Narrow"/>
      <family val="2"/>
      <charset val="238"/>
    </font>
    <font>
      <b/>
      <u/>
      <sz val="12"/>
      <name val="Arial Narrow"/>
      <family val="2"/>
      <charset val="238"/>
    </font>
    <font>
      <sz val="12"/>
      <name val="Calibri"/>
      <family val="2"/>
      <charset val="238"/>
    </font>
    <font>
      <b/>
      <u/>
      <sz val="12"/>
      <name val="Arial"/>
      <family val="2"/>
      <charset val="238"/>
    </font>
    <font>
      <sz val="11"/>
      <name val="Arial Narrow"/>
      <family val="2"/>
      <charset val="238"/>
    </font>
    <font>
      <u/>
      <sz val="12"/>
      <name val="Arial Narrow"/>
      <family val="2"/>
      <charset val="238"/>
    </font>
    <font>
      <sz val="12"/>
      <color indexed="8"/>
      <name val="Arial Narrow"/>
      <family val="2"/>
      <charset val="238"/>
    </font>
    <font>
      <sz val="10"/>
      <name val="Arial"/>
      <family val="2"/>
      <charset val="1"/>
    </font>
    <font>
      <b/>
      <sz val="10"/>
      <name val="Arial"/>
      <family val="2"/>
      <charset val="1"/>
    </font>
    <font>
      <sz val="8"/>
      <name val="Arial"/>
      <family val="2"/>
      <charset val="1"/>
    </font>
    <font>
      <sz val="9"/>
      <name val="Arial"/>
      <family val="2"/>
      <charset val="1"/>
    </font>
    <font>
      <b/>
      <sz val="10"/>
      <color indexed="8"/>
      <name val="Arial"/>
      <family val="2"/>
      <charset val="238"/>
    </font>
    <font>
      <sz val="10"/>
      <color indexed="8"/>
      <name val="Arial"/>
      <family val="2"/>
      <charset val="238"/>
    </font>
    <font>
      <b/>
      <sz val="12"/>
      <name val="Arial CE"/>
      <charset val="238"/>
    </font>
    <font>
      <vertAlign val="superscript"/>
      <sz val="9"/>
      <name val="Arial"/>
      <family val="2"/>
      <charset val="238"/>
    </font>
    <font>
      <sz val="9"/>
      <color indexed="8"/>
      <name val="Arial"/>
      <family val="2"/>
      <charset val="238"/>
    </font>
    <font>
      <b/>
      <sz val="9"/>
      <color indexed="8"/>
      <name val="Arial"/>
      <family val="2"/>
      <charset val="238"/>
    </font>
    <font>
      <u/>
      <sz val="9"/>
      <color indexed="8"/>
      <name val="Arial"/>
      <family val="2"/>
      <charset val="238"/>
    </font>
    <font>
      <vertAlign val="superscript"/>
      <sz val="9"/>
      <color indexed="8"/>
      <name val="Arial"/>
      <family val="2"/>
      <charset val="238"/>
    </font>
    <font>
      <b/>
      <sz val="14"/>
      <color rgb="FF000000"/>
      <name val="Calibri"/>
      <family val="2"/>
      <charset val="238"/>
    </font>
    <font>
      <b/>
      <sz val="12"/>
      <color rgb="FF000000"/>
      <name val="Calibri"/>
      <family val="2"/>
      <charset val="238"/>
    </font>
    <font>
      <b/>
      <sz val="11"/>
      <color rgb="FF000000"/>
      <name val="Calibri"/>
      <family val="2"/>
      <charset val="238"/>
    </font>
    <font>
      <sz val="9"/>
      <color rgb="FF000000"/>
      <name val="Calibri"/>
      <family val="2"/>
      <charset val="238"/>
    </font>
    <font>
      <sz val="11"/>
      <color rgb="FFFF0000"/>
      <name val="Calibri"/>
      <family val="2"/>
      <charset val="238"/>
    </font>
    <font>
      <sz val="12"/>
      <color rgb="FF000000"/>
      <name val="Calibri"/>
      <family val="2"/>
      <charset val="238"/>
    </font>
    <font>
      <sz val="8"/>
      <color rgb="FF000000"/>
      <name val="Calibri"/>
      <family val="2"/>
      <charset val="238"/>
    </font>
    <font>
      <sz val="11"/>
      <color rgb="FF00B050"/>
      <name val="Calibri"/>
      <family val="2"/>
      <charset val="238"/>
    </font>
    <font>
      <sz val="12"/>
      <color rgb="FF00B050"/>
      <name val="Calibri"/>
      <family val="2"/>
      <charset val="238"/>
    </font>
    <font>
      <sz val="10"/>
      <color rgb="FF00B050"/>
      <name val="Calibri"/>
      <family val="2"/>
      <charset val="238"/>
    </font>
    <font>
      <sz val="9"/>
      <color rgb="FF00B050"/>
      <name val="Calibri"/>
      <family val="2"/>
      <charset val="238"/>
    </font>
    <font>
      <sz val="10"/>
      <color rgb="FF000000"/>
      <name val="Calibri"/>
      <family val="2"/>
      <charset val="238"/>
    </font>
    <font>
      <sz val="10"/>
      <color rgb="FF000000"/>
      <name val="Arial"/>
      <family val="2"/>
      <charset val="238"/>
    </font>
    <font>
      <sz val="10"/>
      <name val="Arial"/>
      <family val="2"/>
      <charset val="238"/>
      <scheme val="minor"/>
    </font>
    <font>
      <sz val="8"/>
      <name val="Arial"/>
      <family val="2"/>
      <charset val="238"/>
      <scheme val="minor"/>
    </font>
    <font>
      <sz val="9"/>
      <name val="Arial"/>
      <family val="2"/>
      <charset val="238"/>
      <scheme val="minor"/>
    </font>
    <font>
      <sz val="11"/>
      <name val="Arial"/>
      <family val="2"/>
      <charset val="238"/>
      <scheme val="minor"/>
    </font>
    <font>
      <b/>
      <sz val="10"/>
      <name val="Arial"/>
      <family val="2"/>
      <charset val="238"/>
      <scheme val="minor"/>
    </font>
    <font>
      <i/>
      <sz val="8"/>
      <name val="Arial"/>
      <family val="2"/>
      <charset val="238"/>
      <scheme val="minor"/>
    </font>
    <font>
      <sz val="12"/>
      <name val="Arial"/>
      <family val="2"/>
      <charset val="238"/>
      <scheme val="minor"/>
    </font>
    <font>
      <sz val="10"/>
      <color rgb="FF969696"/>
      <name val="Arial CE"/>
    </font>
    <font>
      <sz val="9"/>
      <color rgb="FF969696"/>
      <name val="Arial CE"/>
    </font>
    <font>
      <b/>
      <sz val="12"/>
      <color rgb="FF960000"/>
      <name val="Arial CE"/>
    </font>
    <font>
      <sz val="8"/>
      <color rgb="FF3366FF"/>
      <name val="Arial CE"/>
    </font>
    <font>
      <b/>
      <sz val="12"/>
      <color rgb="FF000000"/>
      <name val="Arial Narrow"/>
      <family val="2"/>
      <charset val="238"/>
    </font>
    <font>
      <sz val="12"/>
      <color rgb="FF000000"/>
      <name val="Arial Narrow"/>
      <family val="2"/>
      <charset val="238"/>
    </font>
    <font>
      <i/>
      <sz val="12"/>
      <color rgb="FF000000"/>
      <name val="Arial Narrow"/>
      <family val="2"/>
      <charset val="238"/>
    </font>
    <font>
      <i/>
      <sz val="10"/>
      <name val="Arial"/>
      <family val="2"/>
      <charset val="238"/>
      <scheme val="minor"/>
    </font>
    <font>
      <b/>
      <sz val="10"/>
      <color rgb="FF000000"/>
      <name val="Arial"/>
      <family val="2"/>
      <charset val="238"/>
      <scheme val="minor"/>
    </font>
    <font>
      <b/>
      <sz val="9"/>
      <name val="Arial"/>
      <family val="2"/>
      <charset val="238"/>
      <scheme val="minor"/>
    </font>
    <font>
      <sz val="10"/>
      <name val="Arial"/>
      <family val="2"/>
      <charset val="238"/>
      <scheme val="major"/>
    </font>
    <font>
      <sz val="9"/>
      <name val="Arial"/>
      <family val="2"/>
      <charset val="238"/>
      <scheme val="major"/>
    </font>
    <font>
      <b/>
      <sz val="11"/>
      <name val="Arial"/>
      <family val="2"/>
      <charset val="238"/>
      <scheme val="major"/>
    </font>
    <font>
      <b/>
      <sz val="10"/>
      <name val="Arial"/>
      <family val="2"/>
      <charset val="238"/>
      <scheme val="major"/>
    </font>
    <font>
      <sz val="11"/>
      <name val="Arial"/>
      <family val="2"/>
      <charset val="238"/>
      <scheme val="major"/>
    </font>
    <font>
      <sz val="10"/>
      <color rgb="FF0070C0"/>
      <name val="Arial"/>
      <family val="2"/>
      <charset val="238"/>
      <scheme val="major"/>
    </font>
    <font>
      <b/>
      <sz val="12"/>
      <name val="Arial"/>
      <family val="2"/>
      <charset val="238"/>
      <scheme val="major"/>
    </font>
    <font>
      <sz val="8"/>
      <name val="Arial"/>
      <family val="2"/>
      <charset val="238"/>
      <scheme val="major"/>
    </font>
    <font>
      <sz val="12"/>
      <name val="Arial"/>
      <family val="2"/>
      <charset val="238"/>
      <scheme val="major"/>
    </font>
    <font>
      <sz val="9"/>
      <color indexed="8"/>
      <name val="Arial"/>
      <family val="2"/>
      <charset val="238"/>
      <scheme val="major"/>
    </font>
    <font>
      <sz val="8"/>
      <color rgb="FF969696"/>
      <name val="Arial CE"/>
    </font>
    <font>
      <sz val="8"/>
      <color rgb="FF000000"/>
      <name val="Arial CE"/>
    </font>
    <font>
      <sz val="10"/>
      <color rgb="FF3366FF"/>
      <name val="Arial CE"/>
    </font>
    <font>
      <b/>
      <sz val="12"/>
      <color rgb="FF800000"/>
      <name val="Arial CE"/>
    </font>
    <font>
      <sz val="12"/>
      <color rgb="FF003366"/>
      <name val="Arial CE"/>
    </font>
    <font>
      <sz val="9"/>
      <color rgb="FF003366"/>
      <name val="Arial CE"/>
    </font>
    <font>
      <sz val="10"/>
      <color rgb="FF003366"/>
      <name val="Arial CE"/>
    </font>
    <font>
      <sz val="8"/>
      <color rgb="FF960000"/>
      <name val="Arial CE"/>
    </font>
    <font>
      <sz val="8"/>
      <color rgb="FF003366"/>
      <name val="Arial CE"/>
    </font>
    <font>
      <sz val="8"/>
      <color rgb="FF800080"/>
      <name val="Arial CE"/>
    </font>
    <font>
      <sz val="7"/>
      <color rgb="FF969696"/>
      <name val="Arial CE"/>
    </font>
    <font>
      <sz val="9"/>
      <color rgb="FF800080"/>
      <name val="Arial CE"/>
    </font>
    <font>
      <sz val="8"/>
      <color rgb="FF505050"/>
      <name val="Arial CE"/>
    </font>
    <font>
      <sz val="9"/>
      <color rgb="FF505050"/>
      <name val="Arial CE"/>
    </font>
    <font>
      <sz val="8"/>
      <color rgb="FFFF0000"/>
      <name val="Arial CE"/>
    </font>
    <font>
      <sz val="9"/>
      <color rgb="FFFF0000"/>
      <name val="Arial CE"/>
    </font>
    <font>
      <i/>
      <sz val="9"/>
      <color rgb="FF0000FF"/>
      <name val="Arial CE"/>
    </font>
    <font>
      <i/>
      <sz val="8"/>
      <color rgb="FF0000FF"/>
      <name val="Arial CE"/>
    </font>
    <font>
      <sz val="8"/>
      <color rgb="FF0000A8"/>
      <name val="Arial CE"/>
    </font>
    <font>
      <sz val="9"/>
      <color rgb="FF0000A8"/>
      <name val="Arial CE"/>
    </font>
    <font>
      <sz val="10"/>
      <color rgb="FF000000"/>
      <name val="Arial"/>
      <family val="2"/>
      <charset val="238"/>
      <scheme val="major"/>
    </font>
    <font>
      <b/>
      <sz val="10"/>
      <color rgb="FF000000"/>
      <name val="Arial"/>
      <family val="2"/>
      <charset val="238"/>
      <scheme val="major"/>
    </font>
    <font>
      <sz val="9"/>
      <color rgb="FFFF0000"/>
      <name val="Arial"/>
      <family val="2"/>
      <charset val="238"/>
      <scheme val="major"/>
    </font>
    <font>
      <i/>
      <sz val="9"/>
      <color rgb="FF0000FF"/>
      <name val="Arial"/>
      <family val="2"/>
      <charset val="238"/>
      <scheme val="major"/>
    </font>
    <font>
      <sz val="10"/>
      <color rgb="FF000000"/>
      <name val="Arial"/>
      <family val="2"/>
      <charset val="238"/>
      <scheme val="minor"/>
    </font>
    <font>
      <sz val="9"/>
      <color rgb="FF000000"/>
      <name val="Arial"/>
      <family val="2"/>
      <charset val="238"/>
      <scheme val="minor"/>
    </font>
    <font>
      <i/>
      <sz val="9"/>
      <name val="Arial"/>
      <family val="2"/>
      <charset val="238"/>
      <scheme val="minor"/>
    </font>
    <font>
      <b/>
      <i/>
      <sz val="10"/>
      <name val="Arial"/>
      <family val="2"/>
      <charset val="238"/>
    </font>
  </fonts>
  <fills count="9">
    <fill>
      <patternFill patternType="none"/>
    </fill>
    <fill>
      <patternFill patternType="gray125"/>
    </fill>
    <fill>
      <patternFill patternType="solid">
        <fgColor indexed="47"/>
        <bgColor indexed="45"/>
      </patternFill>
    </fill>
    <fill>
      <patternFill patternType="solid">
        <fgColor indexed="26"/>
        <bgColor indexed="9"/>
      </patternFill>
    </fill>
    <fill>
      <patternFill patternType="solid">
        <fgColor rgb="FFD2D2D2"/>
      </patternFill>
    </fill>
    <fill>
      <patternFill patternType="solid">
        <fgColor theme="9" tint="0.79998168889431442"/>
        <bgColor indexed="64"/>
      </patternFill>
    </fill>
    <fill>
      <patternFill patternType="solid">
        <fgColor rgb="FF99CCFF"/>
        <bgColor indexed="64"/>
      </patternFill>
    </fill>
    <fill>
      <patternFill patternType="solid">
        <fgColor theme="0" tint="-0.14999847407452621"/>
        <bgColor indexed="64"/>
      </patternFill>
    </fill>
    <fill>
      <patternFill patternType="solid">
        <fgColor theme="0"/>
        <bgColor indexed="64"/>
      </patternFill>
    </fill>
  </fills>
  <borders count="5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hair">
        <color indexed="64"/>
      </top>
      <bottom style="hair">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top style="hair">
        <color rgb="FF969696"/>
      </top>
      <bottom/>
      <diagonal/>
    </border>
    <border>
      <left/>
      <right/>
      <top style="hair">
        <color rgb="FF000000"/>
      </top>
      <bottom style="hair">
        <color rgb="FF000000"/>
      </bottom>
      <diagonal/>
    </border>
    <border>
      <left style="thin">
        <color rgb="FF000000"/>
      </left>
      <right/>
      <top/>
      <bottom style="thin">
        <color rgb="FF000000"/>
      </bottom>
      <diagonal/>
    </border>
    <border>
      <left/>
      <right/>
      <top/>
      <bottom style="thin">
        <color rgb="FF000000"/>
      </bottom>
      <diagonal/>
    </border>
    <border>
      <left style="hair">
        <color rgb="FF969696"/>
      </left>
      <right/>
      <top style="hair">
        <color rgb="FF969696"/>
      </top>
      <bottom style="hair">
        <color rgb="FF969696"/>
      </bottom>
      <diagonal/>
    </border>
    <border>
      <left/>
      <right/>
      <top style="hair">
        <color rgb="FF969696"/>
      </top>
      <bottom style="hair">
        <color rgb="FF969696"/>
      </bottom>
      <diagonal/>
    </border>
    <border>
      <left/>
      <right style="hair">
        <color rgb="FF969696"/>
      </right>
      <top style="hair">
        <color rgb="FF969696"/>
      </top>
      <bottom style="hair">
        <color rgb="FF969696"/>
      </bottom>
      <diagonal/>
    </border>
    <border>
      <left style="hair">
        <color rgb="FF969696"/>
      </left>
      <right/>
      <top style="hair">
        <color rgb="FF969696"/>
      </top>
      <bottom/>
      <diagonal/>
    </border>
    <border>
      <left style="hair">
        <color rgb="FF969696"/>
      </left>
      <right style="hair">
        <color rgb="FF969696"/>
      </right>
      <top style="hair">
        <color rgb="FF969696"/>
      </top>
      <bottom style="hair">
        <color rgb="FF969696"/>
      </bottom>
      <diagonal/>
    </border>
    <border>
      <left style="hair">
        <color rgb="FF000000"/>
      </left>
      <right/>
      <top style="hair">
        <color rgb="FF000000"/>
      </top>
      <bottom style="hair">
        <color rgb="FF000000"/>
      </bottom>
      <diagonal/>
    </border>
    <border>
      <left/>
      <right style="hair">
        <color rgb="FF969696"/>
      </right>
      <top style="hair">
        <color rgb="FF969696"/>
      </top>
      <bottom/>
      <diagonal/>
    </border>
    <border>
      <left/>
      <right style="hair">
        <color rgb="FF969696"/>
      </right>
      <top/>
      <bottom/>
      <diagonal/>
    </border>
    <border>
      <left/>
      <right style="hair">
        <color rgb="FF000000"/>
      </right>
      <top style="hair">
        <color rgb="FF000000"/>
      </top>
      <bottom style="hair">
        <color rgb="FF000000"/>
      </bottom>
      <diagonal/>
    </border>
    <border>
      <left style="hair">
        <color rgb="FF969696"/>
      </left>
      <right/>
      <top/>
      <bottom/>
      <diagonal/>
    </border>
    <border>
      <left style="hair">
        <color rgb="FF969696"/>
      </left>
      <right/>
      <top/>
      <bottom style="hair">
        <color rgb="FF969696"/>
      </bottom>
      <diagonal/>
    </border>
    <border>
      <left/>
      <right/>
      <top/>
      <bottom style="hair">
        <color rgb="FF969696"/>
      </bottom>
      <diagonal/>
    </border>
    <border>
      <left/>
      <right style="hair">
        <color rgb="FF969696"/>
      </right>
      <top/>
      <bottom style="hair">
        <color rgb="FF969696"/>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s>
  <cellStyleXfs count="4">
    <xf numFmtId="0" fontId="0" fillId="0" borderId="0"/>
    <xf numFmtId="0" fontId="5" fillId="0" borderId="0"/>
    <xf numFmtId="0" fontId="14" fillId="0" borderId="0"/>
    <xf numFmtId="9" fontId="1" fillId="0" borderId="0" applyFont="0" applyFill="0" applyBorder="0" applyAlignment="0" applyProtection="0"/>
  </cellStyleXfs>
  <cellXfs count="1038">
    <xf numFmtId="0" fontId="0" fillId="0" borderId="0" xfId="0"/>
    <xf numFmtId="0" fontId="7" fillId="0" borderId="0" xfId="0" applyFont="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wrapText="1"/>
    </xf>
    <xf numFmtId="0" fontId="0" fillId="0" borderId="0" xfId="0" applyAlignment="1">
      <alignment horizontal="center" vertical="center"/>
    </xf>
    <xf numFmtId="0" fontId="9" fillId="0" borderId="0" xfId="0" applyFont="1" applyAlignment="1">
      <alignment wrapText="1"/>
    </xf>
    <xf numFmtId="0" fontId="12" fillId="0" borderId="0" xfId="0" applyFont="1" applyAlignment="1">
      <alignment horizontal="left" vertical="top"/>
    </xf>
    <xf numFmtId="0" fontId="5" fillId="0" borderId="0" xfId="0" applyFont="1"/>
    <xf numFmtId="0" fontId="9" fillId="0" borderId="0" xfId="0" applyFont="1"/>
    <xf numFmtId="0" fontId="5" fillId="0" borderId="0" xfId="0" applyFont="1" applyAlignment="1">
      <alignment wrapText="1"/>
    </xf>
    <xf numFmtId="0" fontId="4" fillId="0" borderId="0" xfId="0" applyFont="1" applyAlignment="1">
      <alignment horizontal="left" vertical="top"/>
    </xf>
    <xf numFmtId="3" fontId="4" fillId="0" borderId="0" xfId="0" applyNumberFormat="1" applyFont="1" applyAlignment="1">
      <alignment horizontal="right" vertical="top"/>
    </xf>
    <xf numFmtId="0" fontId="5" fillId="0" borderId="0" xfId="0" applyFont="1" applyAlignment="1">
      <alignment horizontal="center" vertical="top" wrapText="1"/>
    </xf>
    <xf numFmtId="0" fontId="4" fillId="0" borderId="0" xfId="0" applyFont="1" applyAlignment="1">
      <alignment horizontal="center" vertical="top"/>
    </xf>
    <xf numFmtId="0" fontId="5" fillId="0" borderId="0" xfId="0" applyFont="1" applyAlignment="1">
      <alignment horizontal="left"/>
    </xf>
    <xf numFmtId="167" fontId="4" fillId="0" borderId="0" xfId="0" applyNumberFormat="1" applyFont="1" applyAlignment="1">
      <alignment horizontal="right" vertical="top"/>
    </xf>
    <xf numFmtId="0" fontId="9" fillId="0" borderId="0" xfId="0" applyFont="1" applyAlignment="1">
      <alignment horizontal="left" wrapText="1"/>
    </xf>
    <xf numFmtId="0" fontId="5" fillId="0" borderId="0" xfId="0" applyFont="1" applyAlignment="1">
      <alignment horizontal="center" wrapText="1"/>
    </xf>
    <xf numFmtId="0" fontId="5" fillId="0" borderId="0" xfId="0" applyFont="1" applyAlignment="1">
      <alignment horizontal="center"/>
    </xf>
    <xf numFmtId="0" fontId="13" fillId="0" borderId="0" xfId="0" applyFont="1" applyAlignment="1">
      <alignment wrapText="1"/>
    </xf>
    <xf numFmtId="0" fontId="5" fillId="0" borderId="0" xfId="0" applyFont="1" applyAlignment="1">
      <alignment vertical="top" wrapText="1"/>
    </xf>
    <xf numFmtId="2" fontId="5" fillId="0" borderId="0" xfId="0" applyNumberFormat="1" applyFont="1" applyAlignment="1">
      <alignment vertical="top"/>
    </xf>
    <xf numFmtId="0" fontId="5" fillId="0" borderId="0" xfId="0" applyFont="1" applyAlignment="1">
      <alignment horizontal="left" vertical="top"/>
    </xf>
    <xf numFmtId="0" fontId="5" fillId="0" borderId="0" xfId="0" applyFont="1" applyAlignment="1">
      <alignment horizontal="left" wrapText="1"/>
    </xf>
    <xf numFmtId="3" fontId="5" fillId="0" borderId="0" xfId="0" applyNumberFormat="1" applyFont="1" applyAlignment="1">
      <alignment horizontal="center" vertical="top"/>
    </xf>
    <xf numFmtId="2" fontId="5" fillId="0" borderId="0" xfId="0" applyNumberFormat="1" applyFont="1" applyAlignment="1">
      <alignment vertical="top" wrapText="1"/>
    </xf>
    <xf numFmtId="0" fontId="5" fillId="0" borderId="0" xfId="0" applyFont="1" applyAlignment="1">
      <alignment horizontal="left" vertical="top" wrapText="1"/>
    </xf>
    <xf numFmtId="0" fontId="5" fillId="0" borderId="0" xfId="0" applyFont="1" applyAlignment="1">
      <alignment vertical="top"/>
    </xf>
    <xf numFmtId="0" fontId="8" fillId="0" borderId="0" xfId="0" applyFont="1" applyAlignment="1">
      <alignment wrapText="1"/>
    </xf>
    <xf numFmtId="0" fontId="8" fillId="0" borderId="0" xfId="0" applyFont="1" applyAlignment="1">
      <alignment horizontal="left" vertical="top" wrapText="1"/>
    </xf>
    <xf numFmtId="0" fontId="13" fillId="0" borderId="0" xfId="0" applyFont="1" applyAlignment="1">
      <alignment horizontal="left" wrapText="1"/>
    </xf>
    <xf numFmtId="4" fontId="5" fillId="0" borderId="0" xfId="0" applyNumberFormat="1" applyFont="1" applyAlignment="1">
      <alignment vertical="top"/>
    </xf>
    <xf numFmtId="1" fontId="5" fillId="0" borderId="0" xfId="0" applyNumberFormat="1" applyFont="1" applyAlignment="1">
      <alignment horizontal="left" vertical="top"/>
    </xf>
    <xf numFmtId="1" fontId="7" fillId="0" borderId="0" xfId="0" applyNumberFormat="1" applyFont="1" applyAlignment="1">
      <alignment horizontal="left" vertical="top"/>
    </xf>
    <xf numFmtId="0" fontId="7" fillId="0" borderId="0" xfId="0" applyFont="1" applyAlignment="1">
      <alignment wrapText="1"/>
    </xf>
    <xf numFmtId="2" fontId="7" fillId="0" borderId="0" xfId="0" applyNumberFormat="1" applyFont="1" applyAlignment="1">
      <alignment horizontal="right"/>
    </xf>
    <xf numFmtId="0" fontId="13" fillId="0" borderId="0" xfId="0" applyFont="1"/>
    <xf numFmtId="0" fontId="18" fillId="0" borderId="0" xfId="0" applyFont="1" applyAlignment="1">
      <alignment horizontal="center" wrapText="1"/>
    </xf>
    <xf numFmtId="0" fontId="18" fillId="0" borderId="0" xfId="0" applyFont="1" applyAlignment="1">
      <alignment wrapText="1"/>
    </xf>
    <xf numFmtId="0" fontId="19" fillId="0" borderId="0" xfId="0" applyFont="1" applyAlignment="1">
      <alignment horizontal="center" wrapText="1"/>
    </xf>
    <xf numFmtId="0" fontId="18" fillId="0" borderId="0" xfId="0" applyFont="1" applyAlignment="1">
      <alignment horizontal="left" wrapText="1"/>
    </xf>
    <xf numFmtId="0" fontId="20" fillId="0" borderId="0" xfId="0" applyFont="1" applyAlignment="1">
      <alignment horizontal="justify"/>
    </xf>
    <xf numFmtId="0" fontId="19" fillId="0" borderId="0" xfId="0" applyFont="1" applyAlignment="1">
      <alignment horizontal="left" wrapText="1"/>
    </xf>
    <xf numFmtId="0" fontId="19" fillId="0" borderId="0" xfId="0" applyFont="1" applyAlignment="1">
      <alignment wrapText="1"/>
    </xf>
    <xf numFmtId="0" fontId="18" fillId="0" borderId="0" xfId="0" applyFont="1"/>
    <xf numFmtId="0" fontId="18" fillId="0" borderId="0" xfId="0" applyFont="1" applyAlignment="1">
      <alignment horizontal="left"/>
    </xf>
    <xf numFmtId="0" fontId="0" fillId="0" borderId="0" xfId="0" applyAlignment="1">
      <alignment horizontal="left"/>
    </xf>
    <xf numFmtId="0" fontId="0" fillId="0" borderId="0" xfId="0" applyAlignment="1">
      <alignment horizontal="left" wrapText="1"/>
    </xf>
    <xf numFmtId="4" fontId="0" fillId="0" borderId="0" xfId="0" applyNumberFormat="1" applyAlignment="1">
      <alignment horizontal="left"/>
    </xf>
    <xf numFmtId="3" fontId="0" fillId="0" borderId="0" xfId="0" applyNumberFormat="1" applyAlignment="1">
      <alignment horizontal="left"/>
    </xf>
    <xf numFmtId="0" fontId="64" fillId="0" borderId="0" xfId="0" applyFont="1" applyAlignment="1">
      <alignment horizontal="center" vertical="center" wrapText="1"/>
    </xf>
    <xf numFmtId="0" fontId="0" fillId="0" borderId="0" xfId="0" applyAlignment="1">
      <alignment horizontal="center" vertical="center" wrapText="1"/>
    </xf>
    <xf numFmtId="0" fontId="65" fillId="0" borderId="0" xfId="0" applyFont="1" applyAlignment="1">
      <alignment horizontal="center" wrapText="1"/>
    </xf>
    <xf numFmtId="0" fontId="66" fillId="0" borderId="0" xfId="0" applyFont="1" applyAlignment="1">
      <alignment horizontal="center" wrapText="1"/>
    </xf>
    <xf numFmtId="4" fontId="0" fillId="0" borderId="0" xfId="0" applyNumberFormat="1" applyAlignment="1">
      <alignment horizontal="left" wrapText="1"/>
    </xf>
    <xf numFmtId="3" fontId="0" fillId="0" borderId="0" xfId="0" applyNumberFormat="1" applyAlignment="1">
      <alignment horizontal="left" wrapText="1"/>
    </xf>
    <xf numFmtId="3" fontId="66" fillId="0" borderId="0" xfId="0" applyNumberFormat="1" applyFont="1" applyAlignment="1">
      <alignment horizontal="right" wrapText="1"/>
    </xf>
    <xf numFmtId="0" fontId="66" fillId="0" borderId="0" xfId="0" applyFont="1" applyAlignment="1">
      <alignment horizontal="left"/>
    </xf>
    <xf numFmtId="4" fontId="66" fillId="0" borderId="0" xfId="0" applyNumberFormat="1" applyFont="1" applyAlignment="1">
      <alignment horizontal="left"/>
    </xf>
    <xf numFmtId="4" fontId="66" fillId="0" borderId="0" xfId="0" applyNumberFormat="1" applyFont="1" applyAlignment="1">
      <alignment horizontal="left" wrapText="1"/>
    </xf>
    <xf numFmtId="3" fontId="66" fillId="0" borderId="0" xfId="0" applyNumberFormat="1" applyFont="1" applyAlignment="1">
      <alignment horizontal="left" wrapText="1"/>
    </xf>
    <xf numFmtId="2" fontId="0" fillId="0" borderId="0" xfId="0" applyNumberFormat="1"/>
    <xf numFmtId="4" fontId="0" fillId="0" borderId="0" xfId="0" applyNumberFormat="1" applyAlignment="1">
      <alignment horizontal="left" vertical="top"/>
    </xf>
    <xf numFmtId="0" fontId="66" fillId="0" borderId="0" xfId="0" applyFont="1" applyAlignment="1">
      <alignment horizontal="left" wrapText="1"/>
    </xf>
    <xf numFmtId="3" fontId="0" fillId="0" borderId="0" xfId="0" applyNumberFormat="1" applyAlignment="1">
      <alignment horizontal="right" wrapText="1"/>
    </xf>
    <xf numFmtId="9" fontId="0" fillId="0" borderId="0" xfId="0" applyNumberFormat="1" applyAlignment="1">
      <alignment horizontal="left"/>
    </xf>
    <xf numFmtId="0" fontId="67" fillId="0" borderId="0" xfId="0" applyFont="1" applyAlignment="1">
      <alignment horizontal="left"/>
    </xf>
    <xf numFmtId="0" fontId="67" fillId="0" borderId="0" xfId="0" applyFont="1" applyAlignment="1">
      <alignment horizontal="left" vertical="top"/>
    </xf>
    <xf numFmtId="0" fontId="69" fillId="0" borderId="0" xfId="0" applyFont="1" applyAlignment="1">
      <alignment horizontal="left" wrapText="1"/>
    </xf>
    <xf numFmtId="0" fontId="70" fillId="0" borderId="0" xfId="0" applyFont="1" applyAlignment="1">
      <alignment horizontal="left"/>
    </xf>
    <xf numFmtId="0" fontId="68" fillId="0" borderId="0" xfId="0" applyFont="1" applyAlignment="1">
      <alignment horizontal="left"/>
    </xf>
    <xf numFmtId="0" fontId="68" fillId="0" borderId="0" xfId="0" applyFont="1" applyAlignment="1">
      <alignment horizontal="left" vertical="top" wrapText="1"/>
    </xf>
    <xf numFmtId="0" fontId="68" fillId="0" borderId="0" xfId="0" applyFont="1" applyAlignment="1">
      <alignment horizontal="left" wrapText="1"/>
    </xf>
    <xf numFmtId="1" fontId="0" fillId="0" borderId="0" xfId="0" applyNumberFormat="1" applyAlignment="1">
      <alignment horizontal="left"/>
    </xf>
    <xf numFmtId="2" fontId="0" fillId="0" borderId="0" xfId="0" applyNumberFormat="1" applyAlignment="1">
      <alignment horizontal="left"/>
    </xf>
    <xf numFmtId="49" fontId="0" fillId="0" borderId="0" xfId="0" applyNumberFormat="1" applyAlignment="1">
      <alignment horizontal="left"/>
    </xf>
    <xf numFmtId="0" fontId="71" fillId="0" borderId="0" xfId="0" applyFont="1" applyAlignment="1">
      <alignment horizontal="left"/>
    </xf>
    <xf numFmtId="1" fontId="71" fillId="0" borderId="0" xfId="0" applyNumberFormat="1" applyFont="1" applyAlignment="1">
      <alignment horizontal="left"/>
    </xf>
    <xf numFmtId="0" fontId="72" fillId="0" borderId="0" xfId="0" applyFont="1" applyAlignment="1">
      <alignment horizontal="left" wrapText="1"/>
    </xf>
    <xf numFmtId="0" fontId="71" fillId="0" borderId="0" xfId="0" applyFont="1" applyAlignment="1">
      <alignment horizontal="left" vertical="top"/>
    </xf>
    <xf numFmtId="0" fontId="73" fillId="0" borderId="0" xfId="0" applyFont="1" applyAlignment="1">
      <alignment horizontal="left" wrapText="1"/>
    </xf>
    <xf numFmtId="4" fontId="74" fillId="0" borderId="0" xfId="0" applyNumberFormat="1" applyFont="1" applyAlignment="1">
      <alignment horizontal="left"/>
    </xf>
    <xf numFmtId="0" fontId="71" fillId="0" borderId="0" xfId="0" applyFont="1" applyAlignment="1">
      <alignment horizontal="left" wrapText="1"/>
    </xf>
    <xf numFmtId="4" fontId="71" fillId="0" borderId="0" xfId="0" applyNumberFormat="1" applyFont="1" applyAlignment="1">
      <alignment horizontal="left"/>
    </xf>
    <xf numFmtId="0" fontId="71" fillId="0" borderId="0" xfId="0" applyFont="1" applyAlignment="1">
      <alignment horizontal="left" vertical="top" wrapText="1"/>
    </xf>
    <xf numFmtId="4" fontId="71" fillId="0" borderId="0" xfId="0" applyNumberFormat="1" applyFont="1" applyAlignment="1">
      <alignment horizontal="left" wrapText="1"/>
    </xf>
    <xf numFmtId="0" fontId="75" fillId="0" borderId="0" xfId="0" applyFont="1" applyAlignment="1">
      <alignment horizontal="left" wrapText="1"/>
    </xf>
    <xf numFmtId="0" fontId="76" fillId="0" borderId="0" xfId="0" applyFont="1" applyAlignment="1">
      <alignment horizontal="left" wrapText="1" readingOrder="1"/>
    </xf>
    <xf numFmtId="4" fontId="76" fillId="0" borderId="0" xfId="0" applyNumberFormat="1" applyFont="1" applyAlignment="1">
      <alignment horizontal="left" wrapText="1" readingOrder="1"/>
    </xf>
    <xf numFmtId="0" fontId="67" fillId="0" borderId="0" xfId="0" applyFont="1" applyAlignment="1">
      <alignment horizontal="left" wrapText="1"/>
    </xf>
    <xf numFmtId="2" fontId="5" fillId="0" borderId="0" xfId="0" applyNumberFormat="1" applyFont="1" applyAlignment="1">
      <alignment wrapText="1"/>
    </xf>
    <xf numFmtId="3" fontId="5" fillId="0" borderId="0" xfId="0" applyNumberFormat="1" applyFont="1" applyAlignment="1">
      <alignment wrapText="1"/>
    </xf>
    <xf numFmtId="3" fontId="5" fillId="0" borderId="0" xfId="0" applyNumberFormat="1" applyFont="1" applyAlignment="1" applyProtection="1">
      <alignment vertical="top"/>
      <protection locked="0"/>
    </xf>
    <xf numFmtId="1" fontId="5" fillId="0" borderId="0" xfId="0" applyNumberFormat="1" applyFont="1" applyAlignment="1">
      <alignment horizontal="left" vertical="top" wrapText="1"/>
    </xf>
    <xf numFmtId="0" fontId="5" fillId="0" borderId="0" xfId="0" applyFont="1" applyAlignment="1">
      <alignment horizontal="center" vertical="top"/>
    </xf>
    <xf numFmtId="167" fontId="5" fillId="0" borderId="0" xfId="0" applyNumberFormat="1" applyFont="1" applyAlignment="1">
      <alignment vertical="top"/>
    </xf>
    <xf numFmtId="167" fontId="5" fillId="0" borderId="0" xfId="0" applyNumberFormat="1" applyFont="1" applyAlignment="1">
      <alignment vertical="top" wrapText="1"/>
    </xf>
    <xf numFmtId="3" fontId="5" fillId="0" borderId="0" xfId="0" applyNumberFormat="1" applyFont="1" applyAlignment="1">
      <alignment vertical="top"/>
    </xf>
    <xf numFmtId="3" fontId="5" fillId="0" borderId="0" xfId="0" applyNumberFormat="1" applyFont="1" applyAlignment="1">
      <alignment horizontal="right" vertical="top"/>
    </xf>
    <xf numFmtId="3" fontId="13" fillId="0" borderId="0" xfId="0" applyNumberFormat="1" applyFont="1" applyAlignment="1">
      <alignment vertical="top"/>
    </xf>
    <xf numFmtId="2" fontId="77" fillId="0" borderId="0" xfId="0" applyNumberFormat="1" applyFont="1" applyAlignment="1">
      <alignment horizontal="right" vertical="top"/>
    </xf>
    <xf numFmtId="0" fontId="7" fillId="0" borderId="0" xfId="0" applyFont="1" applyAlignment="1">
      <alignment horizontal="center"/>
    </xf>
    <xf numFmtId="2" fontId="7" fillId="0" borderId="0" xfId="0" applyNumberFormat="1" applyFont="1" applyAlignment="1">
      <alignment horizontal="right" wrapText="1"/>
    </xf>
    <xf numFmtId="3" fontId="7" fillId="0" borderId="0" xfId="0" applyNumberFormat="1" applyFont="1" applyAlignment="1">
      <alignment horizontal="right"/>
    </xf>
    <xf numFmtId="0" fontId="78" fillId="0" borderId="0" xfId="0" applyFont="1" applyAlignment="1">
      <alignment horizontal="left" vertical="top"/>
    </xf>
    <xf numFmtId="0" fontId="77" fillId="0" borderId="0" xfId="0" applyFont="1" applyAlignment="1">
      <alignment horizontal="right" vertical="top"/>
    </xf>
    <xf numFmtId="167" fontId="77" fillId="0" borderId="0" xfId="0" applyNumberFormat="1" applyFont="1" applyAlignment="1">
      <alignment horizontal="right" vertical="top"/>
    </xf>
    <xf numFmtId="166" fontId="77" fillId="0" borderId="0" xfId="0" applyNumberFormat="1" applyFont="1" applyAlignment="1">
      <alignment horizontal="right" vertical="top"/>
    </xf>
    <xf numFmtId="0" fontId="79" fillId="0" borderId="0" xfId="0" applyFont="1" applyAlignment="1">
      <alignment horizontal="left" vertical="top" wrapText="1"/>
    </xf>
    <xf numFmtId="0" fontId="80" fillId="0" borderId="0" xfId="0" applyFont="1" applyAlignment="1">
      <alignment wrapText="1"/>
    </xf>
    <xf numFmtId="0" fontId="79" fillId="0" borderId="0" xfId="0" applyFont="1" applyAlignment="1">
      <alignment horizontal="center" wrapText="1"/>
    </xf>
    <xf numFmtId="2" fontId="79" fillId="0" borderId="0" xfId="0" applyNumberFormat="1" applyFont="1" applyAlignment="1">
      <alignment wrapText="1"/>
    </xf>
    <xf numFmtId="3" fontId="79" fillId="0" borderId="0" xfId="0" applyNumberFormat="1" applyFont="1" applyAlignment="1">
      <alignment wrapText="1"/>
    </xf>
    <xf numFmtId="4" fontId="5" fillId="0" borderId="0" xfId="0" applyNumberFormat="1" applyFont="1" applyAlignment="1">
      <alignment vertical="top" wrapText="1"/>
    </xf>
    <xf numFmtId="3" fontId="77" fillId="0" borderId="0" xfId="0" applyNumberFormat="1" applyFont="1" applyAlignment="1">
      <alignment horizontal="right" vertical="top"/>
    </xf>
    <xf numFmtId="0" fontId="77" fillId="0" borderId="0" xfId="0" applyFont="1" applyAlignment="1">
      <alignment horizontal="left" vertical="top"/>
    </xf>
    <xf numFmtId="0" fontId="78" fillId="0" borderId="0" xfId="0" applyFont="1" applyAlignment="1">
      <alignment horizontal="left" vertical="top" wrapText="1"/>
    </xf>
    <xf numFmtId="167" fontId="77" fillId="0" borderId="0" xfId="0" applyNumberFormat="1" applyFont="1" applyAlignment="1">
      <alignment horizontal="right" vertical="top" wrapText="1"/>
    </xf>
    <xf numFmtId="3" fontId="77" fillId="0" borderId="0" xfId="0" applyNumberFormat="1" applyFont="1" applyAlignment="1">
      <alignment horizontal="right" vertical="top" wrapText="1"/>
    </xf>
    <xf numFmtId="0" fontId="77" fillId="0" borderId="0" xfId="0" applyFont="1" applyAlignment="1">
      <alignment horizontal="left" vertical="top" wrapText="1"/>
    </xf>
    <xf numFmtId="3" fontId="79" fillId="0" borderId="0" xfId="0" applyNumberFormat="1" applyFont="1" applyAlignment="1">
      <alignment horizontal="right" vertical="top" wrapText="1"/>
    </xf>
    <xf numFmtId="2" fontId="81" fillId="0" borderId="0" xfId="0" applyNumberFormat="1" applyFont="1" applyAlignment="1">
      <alignment horizontal="right" vertical="top"/>
    </xf>
    <xf numFmtId="167" fontId="81" fillId="0" borderId="0" xfId="0" applyNumberFormat="1" applyFont="1" applyAlignment="1">
      <alignment horizontal="right" vertical="top" wrapText="1"/>
    </xf>
    <xf numFmtId="3" fontId="81" fillId="0" borderId="0" xfId="0" applyNumberFormat="1" applyFont="1" applyAlignment="1">
      <alignment horizontal="right" vertical="top" wrapText="1"/>
    </xf>
    <xf numFmtId="167" fontId="79" fillId="0" borderId="0" xfId="0" applyNumberFormat="1" applyFont="1" applyAlignment="1">
      <alignment horizontal="right" vertical="top"/>
    </xf>
    <xf numFmtId="0" fontId="77" fillId="0" borderId="0" xfId="0" applyFont="1" applyAlignment="1">
      <alignment horizontal="right" vertical="top" wrapText="1"/>
    </xf>
    <xf numFmtId="2" fontId="77" fillId="0" borderId="0" xfId="0" applyNumberFormat="1" applyFont="1" applyAlignment="1">
      <alignment horizontal="right" vertical="top" wrapText="1"/>
    </xf>
    <xf numFmtId="0" fontId="79" fillId="0" borderId="0" xfId="0" applyFont="1" applyAlignment="1">
      <alignment horizontal="right" vertical="top" wrapText="1"/>
    </xf>
    <xf numFmtId="165" fontId="77" fillId="0" borderId="0" xfId="0" applyNumberFormat="1" applyFont="1" applyAlignment="1">
      <alignment horizontal="right" vertical="top"/>
    </xf>
    <xf numFmtId="0" fontId="78" fillId="0" borderId="0" xfId="0" applyFont="1" applyAlignment="1">
      <alignment horizontal="right" vertical="top"/>
    </xf>
    <xf numFmtId="2" fontId="78" fillId="0" borderId="0" xfId="0" applyNumberFormat="1" applyFont="1" applyAlignment="1">
      <alignment horizontal="left" vertical="top"/>
    </xf>
    <xf numFmtId="1" fontId="16" fillId="0" borderId="0" xfId="0" applyNumberFormat="1" applyFont="1" applyAlignment="1">
      <alignment horizontal="left" vertical="top" wrapText="1"/>
    </xf>
    <xf numFmtId="0" fontId="13" fillId="0" borderId="0" xfId="0" applyFont="1" applyAlignment="1">
      <alignment vertical="top" wrapText="1"/>
    </xf>
    <xf numFmtId="3" fontId="5" fillId="0" borderId="0" xfId="0" applyNumberFormat="1" applyFont="1" applyAlignment="1" applyProtection="1">
      <alignment horizontal="center" vertical="top" wrapText="1"/>
      <protection locked="0"/>
    </xf>
    <xf numFmtId="2" fontId="77" fillId="0" borderId="0" xfId="0" applyNumberFormat="1" applyFont="1" applyAlignment="1">
      <alignment horizontal="left" vertical="top"/>
    </xf>
    <xf numFmtId="0" fontId="6" fillId="0" borderId="0" xfId="0" applyFont="1" applyAlignment="1">
      <alignment horizontal="left" vertical="top" wrapText="1"/>
    </xf>
    <xf numFmtId="4" fontId="4" fillId="0" borderId="0" xfId="0" applyNumberFormat="1" applyFont="1" applyAlignment="1">
      <alignment vertical="top"/>
    </xf>
    <xf numFmtId="1" fontId="8" fillId="0" borderId="0" xfId="0" applyNumberFormat="1" applyFont="1" applyAlignment="1">
      <alignment horizontal="left" vertical="top" wrapText="1"/>
    </xf>
    <xf numFmtId="49" fontId="78" fillId="0" borderId="0" xfId="0" applyNumberFormat="1" applyFont="1" applyAlignment="1">
      <alignment horizontal="left" vertical="top" wrapText="1"/>
    </xf>
    <xf numFmtId="49" fontId="78" fillId="0" borderId="0" xfId="0" applyNumberFormat="1" applyFont="1" applyAlignment="1">
      <alignment horizontal="left" vertical="top"/>
    </xf>
    <xf numFmtId="49" fontId="77" fillId="0" borderId="0" xfId="0" applyNumberFormat="1" applyFont="1" applyAlignment="1">
      <alignment horizontal="right" vertical="top"/>
    </xf>
    <xf numFmtId="2" fontId="82" fillId="0" borderId="0" xfId="0" applyNumberFormat="1" applyFont="1" applyAlignment="1">
      <alignment horizontal="right" vertical="top" wrapText="1"/>
    </xf>
    <xf numFmtId="4" fontId="82" fillId="0" borderId="0" xfId="0" applyNumberFormat="1" applyFont="1" applyAlignment="1">
      <alignment horizontal="right" vertical="top" wrapText="1"/>
    </xf>
    <xf numFmtId="2" fontId="79" fillId="0" borderId="0" xfId="0" applyNumberFormat="1" applyFont="1" applyAlignment="1">
      <alignment horizontal="left" vertical="top"/>
    </xf>
    <xf numFmtId="4" fontId="78" fillId="0" borderId="0" xfId="0" applyNumberFormat="1" applyFont="1" applyAlignment="1">
      <alignment wrapText="1"/>
    </xf>
    <xf numFmtId="0" fontId="83" fillId="0" borderId="0" xfId="0" applyFont="1" applyAlignment="1">
      <alignment wrapText="1"/>
    </xf>
    <xf numFmtId="0" fontId="81" fillId="0" borderId="0" xfId="0" applyFont="1" applyAlignment="1">
      <alignment horizontal="left" vertical="top"/>
    </xf>
    <xf numFmtId="0" fontId="23" fillId="0" borderId="0" xfId="0" applyFont="1" applyAlignment="1">
      <alignment horizontal="left" vertical="top" wrapText="1"/>
    </xf>
    <xf numFmtId="4" fontId="80" fillId="0" borderId="0" xfId="0" applyNumberFormat="1" applyFont="1" applyAlignment="1">
      <alignment horizontal="right" vertical="top"/>
    </xf>
    <xf numFmtId="1" fontId="78" fillId="0" borderId="0" xfId="1" applyNumberFormat="1" applyFont="1" applyAlignment="1">
      <alignment horizontal="left" vertical="top"/>
    </xf>
    <xf numFmtId="0" fontId="77" fillId="0" borderId="0" xfId="1" applyFont="1" applyAlignment="1">
      <alignment horizontal="right" vertical="top"/>
    </xf>
    <xf numFmtId="0" fontId="78" fillId="0" borderId="0" xfId="1" applyFont="1" applyAlignment="1">
      <alignment horizontal="left" vertical="top"/>
    </xf>
    <xf numFmtId="3" fontId="78" fillId="0" borderId="0" xfId="1" applyNumberFormat="1" applyFont="1" applyAlignment="1">
      <alignment vertical="top"/>
    </xf>
    <xf numFmtId="3" fontId="78" fillId="0" borderId="0" xfId="1" applyNumberFormat="1" applyFont="1" applyAlignment="1">
      <alignment horizontal="left" vertical="top"/>
    </xf>
    <xf numFmtId="3" fontId="81" fillId="0" borderId="0" xfId="0" applyNumberFormat="1" applyFont="1" applyAlignment="1">
      <alignment horizontal="center" vertical="top" wrapText="1"/>
    </xf>
    <xf numFmtId="0" fontId="79" fillId="0" borderId="0" xfId="0" applyFont="1" applyAlignment="1">
      <alignment horizontal="left" vertical="top"/>
    </xf>
    <xf numFmtId="0" fontId="0" fillId="0" borderId="0" xfId="0" applyAlignment="1">
      <alignment horizontal="left" vertical="center"/>
    </xf>
    <xf numFmtId="0" fontId="0" fillId="0" borderId="32" xfId="0" applyBorder="1"/>
    <xf numFmtId="0" fontId="0" fillId="0" borderId="33" xfId="0" applyBorder="1"/>
    <xf numFmtId="0" fontId="0" fillId="0" borderId="34" xfId="0" applyBorder="1"/>
    <xf numFmtId="0" fontId="24" fillId="0" borderId="0" xfId="0" applyFont="1" applyAlignment="1">
      <alignment horizontal="left" vertical="center"/>
    </xf>
    <xf numFmtId="0" fontId="84" fillId="0" borderId="0" xfId="0" applyFont="1" applyAlignment="1">
      <alignment horizontal="left" vertical="center"/>
    </xf>
    <xf numFmtId="0" fontId="0" fillId="0" borderId="0" xfId="0" applyAlignment="1">
      <alignment vertical="center"/>
    </xf>
    <xf numFmtId="0" fontId="0" fillId="0" borderId="34" xfId="0" applyBorder="1" applyAlignment="1">
      <alignment vertical="center"/>
    </xf>
    <xf numFmtId="0" fontId="26" fillId="0" borderId="0" xfId="0" applyFont="1" applyAlignment="1">
      <alignment horizontal="left" vertical="center"/>
    </xf>
    <xf numFmtId="170" fontId="26" fillId="0" borderId="0" xfId="0" applyNumberFormat="1" applyFont="1" applyAlignment="1">
      <alignment horizontal="left" vertical="center"/>
    </xf>
    <xf numFmtId="0" fontId="0" fillId="0" borderId="35" xfId="0" applyBorder="1" applyAlignment="1">
      <alignment vertical="center"/>
    </xf>
    <xf numFmtId="0" fontId="0" fillId="0" borderId="37" xfId="0" applyBorder="1" applyAlignment="1">
      <alignment vertical="center"/>
    </xf>
    <xf numFmtId="0" fontId="0" fillId="0" borderId="38" xfId="0" applyBorder="1" applyAlignment="1">
      <alignment vertical="center"/>
    </xf>
    <xf numFmtId="0" fontId="0" fillId="0" borderId="32" xfId="0" applyBorder="1" applyAlignment="1">
      <alignment vertical="center"/>
    </xf>
    <xf numFmtId="0" fontId="0" fillId="0" borderId="33" xfId="0" applyBorder="1" applyAlignment="1">
      <alignment vertical="center"/>
    </xf>
    <xf numFmtId="0" fontId="0" fillId="0" borderId="34" xfId="0" applyBorder="1" applyAlignment="1">
      <alignment horizontal="center" vertical="center" wrapText="1"/>
    </xf>
    <xf numFmtId="0" fontId="29" fillId="4" borderId="39" xfId="0" applyFont="1" applyFill="1" applyBorder="1" applyAlignment="1">
      <alignment horizontal="center" vertical="center" wrapText="1"/>
    </xf>
    <xf numFmtId="0" fontId="29" fillId="4" borderId="40" xfId="0" applyFont="1" applyFill="1" applyBorder="1" applyAlignment="1">
      <alignment horizontal="center" vertical="center" wrapText="1"/>
    </xf>
    <xf numFmtId="0" fontId="29" fillId="4" borderId="41" xfId="0" applyFont="1" applyFill="1" applyBorder="1" applyAlignment="1">
      <alignment horizontal="center" vertical="center" wrapText="1"/>
    </xf>
    <xf numFmtId="0" fontId="85" fillId="0" borderId="39" xfId="0" applyFont="1" applyBorder="1" applyAlignment="1">
      <alignment horizontal="center" vertical="center" wrapText="1"/>
    </xf>
    <xf numFmtId="0" fontId="85" fillId="0" borderId="40" xfId="0" applyFont="1" applyBorder="1" applyAlignment="1">
      <alignment horizontal="center" vertical="center" wrapText="1"/>
    </xf>
    <xf numFmtId="0" fontId="85" fillId="0" borderId="41" xfId="0" applyFont="1" applyBorder="1" applyAlignment="1">
      <alignment horizontal="center" vertical="center" wrapText="1"/>
    </xf>
    <xf numFmtId="0" fontId="86" fillId="0" borderId="0" xfId="0" applyFont="1" applyAlignment="1">
      <alignment horizontal="left" vertical="center"/>
    </xf>
    <xf numFmtId="0" fontId="0" fillId="0" borderId="42" xfId="0" applyBorder="1" applyAlignment="1">
      <alignment vertical="center"/>
    </xf>
    <xf numFmtId="0" fontId="84" fillId="0" borderId="0" xfId="0" applyFont="1" applyAlignment="1">
      <alignment horizontal="left" vertical="top"/>
    </xf>
    <xf numFmtId="0" fontId="25" fillId="0" borderId="0" xfId="0" applyFont="1" applyAlignment="1">
      <alignment horizontal="left" vertical="top"/>
    </xf>
    <xf numFmtId="0" fontId="28" fillId="0" borderId="0" xfId="0" applyFont="1" applyAlignment="1">
      <alignment horizontal="left" vertical="center" wrapText="1"/>
    </xf>
    <xf numFmtId="0" fontId="31" fillId="0" borderId="39" xfId="0" applyFont="1" applyBorder="1" applyAlignment="1">
      <alignment horizontal="left" vertical="center" wrapText="1"/>
    </xf>
    <xf numFmtId="0" fontId="31" fillId="0" borderId="43" xfId="0" applyFont="1" applyBorder="1" applyAlignment="1">
      <alignment horizontal="left" vertical="center" wrapText="1"/>
    </xf>
    <xf numFmtId="0" fontId="31" fillId="0" borderId="43" xfId="0" applyFont="1" applyBorder="1" applyAlignment="1">
      <alignment horizontal="left" vertical="center"/>
    </xf>
    <xf numFmtId="168" fontId="31" fillId="0" borderId="41" xfId="0" applyNumberFormat="1" applyFont="1" applyBorder="1" applyAlignment="1">
      <alignment vertical="center"/>
    </xf>
    <xf numFmtId="0" fontId="0" fillId="0" borderId="0" xfId="0" applyAlignment="1">
      <alignment horizontal="left" vertical="center" wrapText="1"/>
    </xf>
    <xf numFmtId="168" fontId="0" fillId="0" borderId="0" xfId="0" applyNumberFormat="1" applyAlignment="1">
      <alignment vertical="center"/>
    </xf>
    <xf numFmtId="0" fontId="30" fillId="0" borderId="0" xfId="0" applyFont="1" applyAlignment="1">
      <alignment horizontal="left" vertical="center"/>
    </xf>
    <xf numFmtId="0" fontId="32" fillId="0" borderId="1" xfId="0" applyFont="1" applyBorder="1" applyAlignment="1">
      <alignment vertical="center" wrapText="1"/>
    </xf>
    <xf numFmtId="0" fontId="32" fillId="0" borderId="2" xfId="0" applyFont="1" applyBorder="1" applyAlignment="1">
      <alignment vertical="center" wrapText="1"/>
    </xf>
    <xf numFmtId="0" fontId="32" fillId="0" borderId="3" xfId="0" applyFont="1" applyBorder="1" applyAlignment="1">
      <alignment vertical="center" wrapText="1"/>
    </xf>
    <xf numFmtId="0" fontId="32" fillId="0" borderId="4" xfId="0" applyFont="1" applyBorder="1" applyAlignment="1">
      <alignment horizontal="center" vertical="center" wrapText="1"/>
    </xf>
    <xf numFmtId="0" fontId="32" fillId="0" borderId="5" xfId="0" applyFont="1" applyBorder="1" applyAlignment="1">
      <alignment horizontal="center" vertical="center" wrapText="1"/>
    </xf>
    <xf numFmtId="0" fontId="32" fillId="0" borderId="4" xfId="0" applyFont="1" applyBorder="1" applyAlignment="1">
      <alignment vertical="center" wrapText="1"/>
    </xf>
    <xf numFmtId="0" fontId="32" fillId="0" borderId="5" xfId="0" applyFont="1" applyBorder="1" applyAlignment="1">
      <alignment vertical="center" wrapText="1"/>
    </xf>
    <xf numFmtId="0" fontId="34" fillId="0" borderId="0" xfId="0" applyFont="1" applyAlignment="1">
      <alignment horizontal="left" vertical="center" wrapText="1"/>
    </xf>
    <xf numFmtId="0" fontId="12" fillId="0" borderId="0" xfId="0" applyFont="1" applyAlignment="1">
      <alignment horizontal="left" vertical="center" wrapText="1"/>
    </xf>
    <xf numFmtId="0" fontId="35" fillId="0" borderId="4" xfId="0" applyFont="1" applyBorder="1" applyAlignment="1">
      <alignment vertical="center" wrapText="1"/>
    </xf>
    <xf numFmtId="0" fontId="12" fillId="0" borderId="0" xfId="0" applyFont="1" applyAlignment="1">
      <alignment vertical="center" wrapText="1"/>
    </xf>
    <xf numFmtId="0" fontId="12" fillId="0" borderId="0" xfId="0" applyFont="1" applyAlignment="1">
      <alignment horizontal="left" vertical="center"/>
    </xf>
    <xf numFmtId="0" fontId="12" fillId="0" borderId="0" xfId="0" applyFont="1" applyAlignment="1">
      <alignment vertical="center"/>
    </xf>
    <xf numFmtId="49" fontId="12" fillId="0" borderId="0" xfId="0" applyNumberFormat="1" applyFont="1" applyAlignment="1">
      <alignment vertical="center" wrapText="1"/>
    </xf>
    <xf numFmtId="0" fontId="32" fillId="0" borderId="6" xfId="0" applyFont="1" applyBorder="1" applyAlignment="1">
      <alignment vertical="center" wrapText="1"/>
    </xf>
    <xf numFmtId="0" fontId="38" fillId="0" borderId="7" xfId="0" applyFont="1" applyBorder="1" applyAlignment="1">
      <alignment vertical="center" wrapText="1"/>
    </xf>
    <xf numFmtId="0" fontId="32" fillId="0" borderId="8" xfId="0" applyFont="1" applyBorder="1" applyAlignment="1">
      <alignment vertical="center" wrapText="1"/>
    </xf>
    <xf numFmtId="0" fontId="32" fillId="0" borderId="0" xfId="0" applyFont="1" applyAlignment="1">
      <alignment vertical="top"/>
    </xf>
    <xf numFmtId="0" fontId="32" fillId="0" borderId="1" xfId="0" applyFont="1" applyBorder="1" applyAlignment="1">
      <alignment horizontal="left" vertical="center"/>
    </xf>
    <xf numFmtId="0" fontId="32" fillId="0" borderId="2" xfId="0" applyFont="1" applyBorder="1" applyAlignment="1">
      <alignment horizontal="left" vertical="center"/>
    </xf>
    <xf numFmtId="0" fontId="32" fillId="0" borderId="3" xfId="0" applyFont="1" applyBorder="1" applyAlignment="1">
      <alignment horizontal="left" vertical="center"/>
    </xf>
    <xf numFmtId="0" fontId="32" fillId="0" borderId="4" xfId="0" applyFont="1" applyBorder="1" applyAlignment="1">
      <alignment horizontal="left" vertical="center"/>
    </xf>
    <xf numFmtId="0" fontId="32" fillId="0" borderId="5" xfId="0" applyFont="1" applyBorder="1" applyAlignment="1">
      <alignment horizontal="left" vertical="center"/>
    </xf>
    <xf numFmtId="0" fontId="34" fillId="0" borderId="0" xfId="0" applyFont="1" applyAlignment="1">
      <alignment horizontal="left" vertical="center"/>
    </xf>
    <xf numFmtId="0" fontId="39" fillId="0" borderId="0" xfId="0" applyFont="1" applyAlignment="1">
      <alignment horizontal="left" vertical="center"/>
    </xf>
    <xf numFmtId="0" fontId="34" fillId="0" borderId="7" xfId="0" applyFont="1" applyBorder="1" applyAlignment="1">
      <alignment horizontal="left" vertical="center"/>
    </xf>
    <xf numFmtId="0" fontId="34" fillId="0" borderId="7" xfId="0" applyFont="1" applyBorder="1" applyAlignment="1">
      <alignment horizontal="center" vertical="center"/>
    </xf>
    <xf numFmtId="0" fontId="39" fillId="0" borderId="7" xfId="0" applyFont="1" applyBorder="1" applyAlignment="1">
      <alignment horizontal="left" vertical="center"/>
    </xf>
    <xf numFmtId="0" fontId="40" fillId="0" borderId="0" xfId="0" applyFont="1" applyAlignment="1">
      <alignment horizontal="left" vertical="center"/>
    </xf>
    <xf numFmtId="0" fontId="35" fillId="0" borderId="0" xfId="0" applyFont="1" applyAlignment="1">
      <alignment horizontal="left" vertical="center"/>
    </xf>
    <xf numFmtId="0" fontId="37" fillId="0" borderId="0" xfId="0" applyFont="1" applyAlignment="1">
      <alignment horizontal="left" vertical="center"/>
    </xf>
    <xf numFmtId="0" fontId="12" fillId="0" borderId="0" xfId="0" applyFont="1" applyAlignment="1">
      <alignment horizontal="center" vertical="center"/>
    </xf>
    <xf numFmtId="0" fontId="35" fillId="0" borderId="4" xfId="0" applyFont="1" applyBorder="1" applyAlignment="1">
      <alignment horizontal="left" vertical="center"/>
    </xf>
    <xf numFmtId="0" fontId="32" fillId="0" borderId="6" xfId="0" applyFont="1" applyBorder="1" applyAlignment="1">
      <alignment horizontal="left" vertical="center"/>
    </xf>
    <xf numFmtId="0" fontId="38" fillId="0" borderId="7" xfId="0" applyFont="1" applyBorder="1" applyAlignment="1">
      <alignment horizontal="left" vertical="center"/>
    </xf>
    <xf numFmtId="0" fontId="32" fillId="0" borderId="8" xfId="0" applyFont="1" applyBorder="1" applyAlignment="1">
      <alignment horizontal="left" vertical="center"/>
    </xf>
    <xf numFmtId="0" fontId="32" fillId="0" borderId="0" xfId="0" applyFont="1" applyAlignment="1">
      <alignment horizontal="left" vertical="center"/>
    </xf>
    <xf numFmtId="0" fontId="38" fillId="0" borderId="0" xfId="0" applyFont="1" applyAlignment="1">
      <alignment horizontal="left" vertical="center"/>
    </xf>
    <xf numFmtId="0" fontId="35" fillId="0" borderId="7" xfId="0" applyFont="1" applyBorder="1" applyAlignment="1">
      <alignment horizontal="left" vertical="center"/>
    </xf>
    <xf numFmtId="0" fontId="32" fillId="0" borderId="0" xfId="0" applyFont="1" applyAlignment="1">
      <alignment horizontal="left" vertical="center" wrapText="1"/>
    </xf>
    <xf numFmtId="0" fontId="35" fillId="0" borderId="0" xfId="0" applyFont="1" applyAlignment="1">
      <alignment horizontal="left" vertical="center" wrapText="1"/>
    </xf>
    <xf numFmtId="0" fontId="35" fillId="0" borderId="0" xfId="0" applyFont="1" applyAlignment="1">
      <alignment horizontal="center" vertical="center" wrapText="1"/>
    </xf>
    <xf numFmtId="0" fontId="32" fillId="0" borderId="1" xfId="0" applyFont="1" applyBorder="1" applyAlignment="1">
      <alignment horizontal="left" vertical="center" wrapText="1"/>
    </xf>
    <xf numFmtId="0" fontId="32" fillId="0" borderId="2" xfId="0" applyFont="1" applyBorder="1" applyAlignment="1">
      <alignment horizontal="left" vertical="center" wrapText="1"/>
    </xf>
    <xf numFmtId="0" fontId="32" fillId="0" borderId="3" xfId="0" applyFont="1" applyBorder="1" applyAlignment="1">
      <alignment horizontal="left" vertical="center" wrapText="1"/>
    </xf>
    <xf numFmtId="0" fontId="32" fillId="0" borderId="4" xfId="0" applyFont="1" applyBorder="1" applyAlignment="1">
      <alignment horizontal="left" vertical="center" wrapText="1"/>
    </xf>
    <xf numFmtId="0" fontId="32" fillId="0" borderId="5" xfId="0" applyFont="1" applyBorder="1" applyAlignment="1">
      <alignment horizontal="left" vertical="center" wrapText="1"/>
    </xf>
    <xf numFmtId="0" fontId="39" fillId="0" borderId="4" xfId="0" applyFont="1" applyBorder="1" applyAlignment="1">
      <alignment horizontal="left" vertical="center" wrapText="1"/>
    </xf>
    <xf numFmtId="0" fontId="39"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5" xfId="0" applyFont="1" applyBorder="1" applyAlignment="1">
      <alignment horizontal="left" vertical="center" wrapText="1"/>
    </xf>
    <xf numFmtId="0" fontId="35" fillId="0" borderId="5" xfId="0" applyFont="1" applyBorder="1" applyAlignment="1">
      <alignment horizontal="left" vertical="center"/>
    </xf>
    <xf numFmtId="0" fontId="35" fillId="0" borderId="6" xfId="0" applyFont="1" applyBorder="1" applyAlignment="1">
      <alignment horizontal="left" vertical="center" wrapText="1"/>
    </xf>
    <xf numFmtId="0" fontId="35" fillId="0" borderId="7" xfId="0" applyFont="1" applyBorder="1" applyAlignment="1">
      <alignment horizontal="left" vertical="center" wrapText="1"/>
    </xf>
    <xf numFmtId="0" fontId="35" fillId="0" borderId="8" xfId="0" applyFont="1" applyBorder="1" applyAlignment="1">
      <alignment horizontal="left" vertical="center" wrapText="1"/>
    </xf>
    <xf numFmtId="0" fontId="12" fillId="0" borderId="0" xfId="0" applyFont="1" applyAlignment="1">
      <alignment horizontal="center" vertical="top"/>
    </xf>
    <xf numFmtId="0" fontId="35" fillId="0" borderId="6" xfId="0" applyFont="1" applyBorder="1" applyAlignment="1">
      <alignment horizontal="left" vertical="center"/>
    </xf>
    <xf numFmtId="0" fontId="35" fillId="0" borderId="8" xfId="0" applyFont="1" applyBorder="1" applyAlignment="1">
      <alignment horizontal="left" vertical="center"/>
    </xf>
    <xf numFmtId="0" fontId="35" fillId="0" borderId="0" xfId="0" applyFont="1" applyAlignment="1">
      <alignment horizontal="center" vertical="center"/>
    </xf>
    <xf numFmtId="0" fontId="39" fillId="0" borderId="0" xfId="0" applyFont="1" applyAlignment="1">
      <alignment vertical="center"/>
    </xf>
    <xf numFmtId="0" fontId="34" fillId="0" borderId="0" xfId="0" applyFont="1" applyAlignment="1">
      <alignment vertical="center"/>
    </xf>
    <xf numFmtId="0" fontId="39" fillId="0" borderId="7" xfId="0" applyFont="1" applyBorder="1" applyAlignment="1">
      <alignment vertical="center"/>
    </xf>
    <xf numFmtId="0" fontId="34" fillId="0" borderId="7" xfId="0" applyFont="1" applyBorder="1" applyAlignment="1">
      <alignment vertical="center"/>
    </xf>
    <xf numFmtId="0" fontId="12" fillId="0" borderId="0" xfId="0" applyFont="1" applyAlignment="1">
      <alignment vertical="top"/>
    </xf>
    <xf numFmtId="49" fontId="12" fillId="0" borderId="0" xfId="0" applyNumberFormat="1" applyFont="1" applyAlignment="1">
      <alignment horizontal="left" vertical="center"/>
    </xf>
    <xf numFmtId="0" fontId="0" fillId="0" borderId="7" xfId="0" applyBorder="1" applyAlignment="1">
      <alignment vertical="top"/>
    </xf>
    <xf numFmtId="0" fontId="34" fillId="0" borderId="7" xfId="0" applyFont="1" applyBorder="1" applyAlignment="1">
      <alignment horizontal="left"/>
    </xf>
    <xf numFmtId="0" fontId="39" fillId="0" borderId="7" xfId="0" applyFont="1" applyBorder="1"/>
    <xf numFmtId="0" fontId="32" fillId="0" borderId="4" xfId="0" applyFont="1" applyBorder="1" applyAlignment="1">
      <alignment vertical="top"/>
    </xf>
    <xf numFmtId="0" fontId="32" fillId="0" borderId="5" xfId="0" applyFont="1" applyBorder="1" applyAlignment="1">
      <alignment vertical="top"/>
    </xf>
    <xf numFmtId="0" fontId="32" fillId="0" borderId="6" xfId="0" applyFont="1" applyBorder="1" applyAlignment="1">
      <alignment vertical="top"/>
    </xf>
    <xf numFmtId="0" fontId="32" fillId="0" borderId="7" xfId="0" applyFont="1" applyBorder="1" applyAlignment="1">
      <alignment vertical="top"/>
    </xf>
    <xf numFmtId="0" fontId="32" fillId="0" borderId="8" xfId="0" applyFont="1" applyBorder="1" applyAlignment="1">
      <alignment vertical="top"/>
    </xf>
    <xf numFmtId="0" fontId="0" fillId="0" borderId="0" xfId="0" applyAlignment="1">
      <alignment vertical="top"/>
    </xf>
    <xf numFmtId="0" fontId="41" fillId="5" borderId="9" xfId="0" applyFont="1" applyFill="1" applyBorder="1"/>
    <xf numFmtId="0" fontId="41" fillId="5" borderId="10" xfId="0" applyFont="1" applyFill="1" applyBorder="1"/>
    <xf numFmtId="0" fontId="41" fillId="5" borderId="11" xfId="0" applyFont="1" applyFill="1" applyBorder="1"/>
    <xf numFmtId="0" fontId="41" fillId="0" borderId="0" xfId="0" applyFont="1"/>
    <xf numFmtId="0" fontId="42" fillId="5" borderId="12" xfId="0" applyFont="1" applyFill="1" applyBorder="1"/>
    <xf numFmtId="0" fontId="42" fillId="5" borderId="0" xfId="0" applyFont="1" applyFill="1"/>
    <xf numFmtId="0" fontId="41" fillId="5" borderId="0" xfId="0" applyFont="1" applyFill="1"/>
    <xf numFmtId="0" fontId="41" fillId="5" borderId="13" xfId="0" applyFont="1" applyFill="1" applyBorder="1"/>
    <xf numFmtId="0" fontId="41" fillId="5" borderId="14" xfId="0" applyFont="1" applyFill="1" applyBorder="1"/>
    <xf numFmtId="0" fontId="41" fillId="5" borderId="15" xfId="0" applyFont="1" applyFill="1" applyBorder="1"/>
    <xf numFmtId="0" fontId="43" fillId="5" borderId="15" xfId="0" applyFont="1" applyFill="1" applyBorder="1"/>
    <xf numFmtId="0" fontId="41" fillId="5" borderId="16" xfId="0" applyFont="1" applyFill="1" applyBorder="1"/>
    <xf numFmtId="0" fontId="43" fillId="5" borderId="17" xfId="0" applyFont="1" applyFill="1" applyBorder="1" applyAlignment="1">
      <alignment horizontal="center"/>
    </xf>
    <xf numFmtId="0" fontId="43" fillId="5" borderId="18" xfId="0" applyFont="1" applyFill="1" applyBorder="1" applyAlignment="1">
      <alignment horizontal="center"/>
    </xf>
    <xf numFmtId="0" fontId="43" fillId="5" borderId="18" xfId="0" applyFont="1" applyFill="1" applyBorder="1" applyAlignment="1">
      <alignment horizontal="left"/>
    </xf>
    <xf numFmtId="0" fontId="43" fillId="5" borderId="19" xfId="0" applyFont="1" applyFill="1" applyBorder="1" applyAlignment="1">
      <alignment horizontal="right"/>
    </xf>
    <xf numFmtId="0" fontId="44" fillId="0" borderId="0" xfId="0" applyFont="1"/>
    <xf numFmtId="0" fontId="45" fillId="0" borderId="20" xfId="0" applyFont="1" applyBorder="1" applyAlignment="1">
      <alignment horizontal="center"/>
    </xf>
    <xf numFmtId="0" fontId="45" fillId="0" borderId="20" xfId="0" applyFont="1" applyBorder="1" applyAlignment="1">
      <alignment horizontal="right"/>
    </xf>
    <xf numFmtId="0" fontId="45" fillId="0" borderId="21" xfId="0" applyFont="1" applyBorder="1" applyAlignment="1">
      <alignment horizontal="center"/>
    </xf>
    <xf numFmtId="0" fontId="45" fillId="5" borderId="21" xfId="0" applyFont="1" applyFill="1" applyBorder="1" applyAlignment="1">
      <alignment horizontal="left" wrapText="1" shrinkToFit="1"/>
    </xf>
    <xf numFmtId="0" fontId="46" fillId="0" borderId="21" xfId="0" applyFont="1" applyBorder="1" applyAlignment="1">
      <alignment horizontal="right"/>
    </xf>
    <xf numFmtId="0" fontId="45" fillId="0" borderId="21" xfId="0" applyFont="1" applyBorder="1" applyAlignment="1">
      <alignment horizontal="right"/>
    </xf>
    <xf numFmtId="0" fontId="44" fillId="0" borderId="21" xfId="0" applyFont="1" applyBorder="1" applyAlignment="1">
      <alignment horizontal="center" vertical="top"/>
    </xf>
    <xf numFmtId="49" fontId="44" fillId="0" borderId="21" xfId="0" applyNumberFormat="1" applyFont="1" applyBorder="1" applyAlignment="1">
      <alignment horizontal="center" vertical="top"/>
    </xf>
    <xf numFmtId="0" fontId="44" fillId="0" borderId="21" xfId="0" applyFont="1" applyBorder="1" applyAlignment="1">
      <alignment horizontal="justify" vertical="top" wrapText="1" shrinkToFit="1"/>
    </xf>
    <xf numFmtId="167" fontId="44" fillId="0" borderId="21" xfId="0" applyNumberFormat="1" applyFont="1" applyBorder="1" applyAlignment="1">
      <alignment vertical="top"/>
    </xf>
    <xf numFmtId="0" fontId="44" fillId="0" borderId="21" xfId="0" applyFont="1" applyBorder="1" applyAlignment="1">
      <alignment vertical="top" wrapText="1"/>
    </xf>
    <xf numFmtId="172" fontId="44" fillId="0" borderId="17" xfId="0" applyNumberFormat="1" applyFont="1" applyBorder="1" applyAlignment="1">
      <alignment horizontal="center" vertical="center"/>
    </xf>
    <xf numFmtId="172" fontId="44" fillId="0" borderId="18" xfId="0" applyNumberFormat="1" applyFont="1" applyBorder="1" applyAlignment="1">
      <alignment horizontal="center" vertical="center"/>
    </xf>
    <xf numFmtId="0" fontId="45" fillId="0" borderId="18" xfId="0" applyFont="1" applyBorder="1" applyAlignment="1">
      <alignment wrapText="1" shrinkToFit="1"/>
    </xf>
    <xf numFmtId="0" fontId="44" fillId="0" borderId="18" xfId="0" applyFont="1" applyBorder="1" applyAlignment="1">
      <alignment horizontal="center"/>
    </xf>
    <xf numFmtId="167" fontId="44" fillId="0" borderId="18" xfId="0" applyNumberFormat="1" applyFont="1" applyBorder="1"/>
    <xf numFmtId="173" fontId="45" fillId="0" borderId="19" xfId="0" applyNumberFormat="1" applyFont="1" applyBorder="1" applyAlignment="1">
      <alignment horizontal="right"/>
    </xf>
    <xf numFmtId="0" fontId="44" fillId="0" borderId="21" xfId="0" applyFont="1" applyBorder="1" applyAlignment="1">
      <alignment horizontal="center"/>
    </xf>
    <xf numFmtId="167" fontId="44" fillId="0" borderId="21" xfId="0" applyNumberFormat="1" applyFont="1" applyBorder="1"/>
    <xf numFmtId="173" fontId="45" fillId="0" borderId="21" xfId="0" applyNumberFormat="1" applyFont="1" applyBorder="1" applyAlignment="1">
      <alignment horizontal="right"/>
    </xf>
    <xf numFmtId="0" fontId="44" fillId="0" borderId="21" xfId="0" applyFont="1" applyBorder="1"/>
    <xf numFmtId="0" fontId="44" fillId="0" borderId="21" xfId="0" applyFont="1" applyBorder="1" applyAlignment="1">
      <alignment wrapText="1"/>
    </xf>
    <xf numFmtId="0" fontId="44" fillId="0" borderId="22" xfId="0" applyFont="1" applyBorder="1" applyAlignment="1">
      <alignment horizontal="center" vertical="top"/>
    </xf>
    <xf numFmtId="49" fontId="44" fillId="0" borderId="22" xfId="0" applyNumberFormat="1" applyFont="1" applyBorder="1" applyAlignment="1">
      <alignment horizontal="center" vertical="top"/>
    </xf>
    <xf numFmtId="0" fontId="44" fillId="0" borderId="22" xfId="0" applyFont="1" applyBorder="1" applyAlignment="1">
      <alignment horizontal="justify" vertical="top" wrapText="1" shrinkToFit="1"/>
    </xf>
    <xf numFmtId="0" fontId="44" fillId="0" borderId="21" xfId="0" applyFont="1" applyBorder="1" applyAlignment="1">
      <alignment vertical="top" wrapText="1" shrinkToFit="1"/>
    </xf>
    <xf numFmtId="172" fontId="44" fillId="0" borderId="21" xfId="0" applyNumberFormat="1" applyFont="1" applyBorder="1" applyAlignment="1">
      <alignment horizontal="center" vertical="top"/>
    </xf>
    <xf numFmtId="0" fontId="45" fillId="5" borderId="21" xfId="0" applyFont="1" applyFill="1" applyBorder="1" applyAlignment="1">
      <alignment horizontal="left" wrapText="1"/>
    </xf>
    <xf numFmtId="0" fontId="48" fillId="0" borderId="21" xfId="0" applyFont="1" applyBorder="1" applyAlignment="1">
      <alignment horizontal="center"/>
    </xf>
    <xf numFmtId="0" fontId="2" fillId="0" borderId="21" xfId="0" applyFont="1" applyBorder="1" applyAlignment="1">
      <alignment horizontal="center"/>
    </xf>
    <xf numFmtId="0" fontId="2" fillId="0" borderId="21" xfId="0" applyFont="1" applyBorder="1" applyAlignment="1">
      <alignment horizontal="right"/>
    </xf>
    <xf numFmtId="172" fontId="44" fillId="0" borderId="17" xfId="0" applyNumberFormat="1" applyFont="1" applyBorder="1" applyAlignment="1">
      <alignment horizontal="center" vertical="top"/>
    </xf>
    <xf numFmtId="172" fontId="44" fillId="0" borderId="18" xfId="0" applyNumberFormat="1" applyFont="1" applyBorder="1" applyAlignment="1">
      <alignment horizontal="center" vertical="top"/>
    </xf>
    <xf numFmtId="0" fontId="45" fillId="0" borderId="20" xfId="0" applyFont="1" applyBorder="1" applyAlignment="1">
      <alignment wrapText="1"/>
    </xf>
    <xf numFmtId="0" fontId="45" fillId="0" borderId="20" xfId="0" applyFont="1" applyBorder="1"/>
    <xf numFmtId="0" fontId="45" fillId="0" borderId="21" xfId="0" applyFont="1" applyBorder="1" applyAlignment="1">
      <alignment wrapText="1"/>
    </xf>
    <xf numFmtId="0" fontId="46" fillId="0" borderId="21" xfId="0" applyFont="1" applyBorder="1" applyAlignment="1">
      <alignment horizontal="center"/>
    </xf>
    <xf numFmtId="0" fontId="44" fillId="0" borderId="21" xfId="0" applyFont="1" applyBorder="1" applyAlignment="1">
      <alignment horizontal="right"/>
    </xf>
    <xf numFmtId="0" fontId="49" fillId="0" borderId="0" xfId="0" applyFont="1"/>
    <xf numFmtId="1" fontId="44" fillId="0" borderId="21" xfId="0" applyNumberFormat="1" applyFont="1" applyBorder="1" applyAlignment="1">
      <alignment horizontal="center"/>
    </xf>
    <xf numFmtId="0" fontId="44" fillId="0" borderId="17" xfId="0" applyFont="1" applyBorder="1"/>
    <xf numFmtId="0" fontId="44" fillId="0" borderId="18" xfId="0" applyFont="1" applyBorder="1"/>
    <xf numFmtId="0" fontId="45" fillId="0" borderId="18" xfId="0" applyFont="1" applyBorder="1" applyAlignment="1">
      <alignment wrapText="1"/>
    </xf>
    <xf numFmtId="0" fontId="45" fillId="0" borderId="18" xfId="0" applyFont="1" applyBorder="1"/>
    <xf numFmtId="0" fontId="44" fillId="0" borderId="20" xfId="0" applyFont="1" applyBorder="1"/>
    <xf numFmtId="0" fontId="50" fillId="0" borderId="21" xfId="0" applyFont="1" applyBorder="1"/>
    <xf numFmtId="0" fontId="46" fillId="0" borderId="21" xfId="0" applyFont="1" applyBorder="1" applyAlignment="1">
      <alignment wrapText="1"/>
    </xf>
    <xf numFmtId="0" fontId="46" fillId="0" borderId="21" xfId="0" applyFont="1" applyBorder="1"/>
    <xf numFmtId="0" fontId="50" fillId="0" borderId="21" xfId="0" applyFont="1" applyBorder="1" applyAlignment="1">
      <alignment horizontal="center"/>
    </xf>
    <xf numFmtId="0" fontId="44" fillId="0" borderId="0" xfId="0" applyFont="1" applyAlignment="1">
      <alignment horizontal="center"/>
    </xf>
    <xf numFmtId="0" fontId="44" fillId="0" borderId="0" xfId="0" applyFont="1" applyAlignment="1">
      <alignment wrapText="1" shrinkToFit="1"/>
    </xf>
    <xf numFmtId="0" fontId="44" fillId="0" borderId="0" xfId="0" applyFont="1" applyAlignment="1">
      <alignment horizontal="right"/>
    </xf>
    <xf numFmtId="0" fontId="45" fillId="0" borderId="0" xfId="0" applyFont="1" applyAlignment="1">
      <alignment horizontal="right"/>
    </xf>
    <xf numFmtId="0" fontId="41" fillId="0" borderId="0" xfId="0" applyFont="1" applyAlignment="1">
      <alignment wrapText="1" shrinkToFit="1"/>
    </xf>
    <xf numFmtId="0" fontId="41" fillId="5" borderId="12" xfId="0" applyFont="1" applyFill="1" applyBorder="1"/>
    <xf numFmtId="0" fontId="43" fillId="5" borderId="0" xfId="0" applyFont="1" applyFill="1"/>
    <xf numFmtId="0" fontId="44" fillId="0" borderId="20" xfId="0" applyFont="1" applyBorder="1" applyAlignment="1">
      <alignment horizontal="center" vertical="top"/>
    </xf>
    <xf numFmtId="0" fontId="46" fillId="0" borderId="20" xfId="0" applyFont="1" applyBorder="1" applyAlignment="1">
      <alignment horizontal="center"/>
    </xf>
    <xf numFmtId="0" fontId="46" fillId="0" borderId="20" xfId="0" applyFont="1" applyBorder="1" applyAlignment="1">
      <alignment horizontal="center" vertical="top"/>
    </xf>
    <xf numFmtId="0" fontId="45" fillId="0" borderId="20" xfId="0" applyFont="1" applyBorder="1" applyAlignment="1">
      <alignment horizontal="center" vertical="top"/>
    </xf>
    <xf numFmtId="0" fontId="45" fillId="0" borderId="20" xfId="0" applyFont="1" applyBorder="1" applyAlignment="1">
      <alignment horizontal="right" vertical="top"/>
    </xf>
    <xf numFmtId="0" fontId="44" fillId="0" borderId="20" xfId="0" applyFont="1" applyBorder="1" applyAlignment="1">
      <alignment horizontal="right" vertical="top"/>
    </xf>
    <xf numFmtId="49" fontId="51" fillId="0" borderId="0" xfId="0" applyNumberFormat="1" applyFont="1" applyAlignment="1">
      <alignment horizontal="left" vertical="top" wrapText="1"/>
    </xf>
    <xf numFmtId="0" fontId="46" fillId="0" borderId="21" xfId="0" applyFont="1" applyBorder="1" applyAlignment="1">
      <alignment horizontal="center" vertical="top"/>
    </xf>
    <xf numFmtId="0" fontId="45" fillId="0" borderId="21" xfId="0" applyFont="1" applyBorder="1" applyAlignment="1">
      <alignment horizontal="center" vertical="top"/>
    </xf>
    <xf numFmtId="0" fontId="45" fillId="0" borderId="21" xfId="0" applyFont="1" applyBorder="1" applyAlignment="1">
      <alignment horizontal="right" vertical="top"/>
    </xf>
    <xf numFmtId="0" fontId="44" fillId="0" borderId="21" xfId="0" applyFont="1" applyBorder="1" applyAlignment="1">
      <alignment horizontal="right" vertical="top"/>
    </xf>
    <xf numFmtId="49" fontId="88" fillId="5" borderId="21" xfId="0" applyNumberFormat="1" applyFont="1" applyFill="1" applyBorder="1" applyAlignment="1">
      <alignment horizontal="left" wrapText="1"/>
    </xf>
    <xf numFmtId="49" fontId="51" fillId="0" borderId="21" xfId="0" applyNumberFormat="1" applyFont="1" applyBorder="1" applyAlignment="1">
      <alignment horizontal="center" vertical="top" wrapText="1"/>
    </xf>
    <xf numFmtId="4" fontId="89" fillId="0" borderId="21" xfId="0" applyNumberFormat="1" applyFont="1" applyBorder="1" applyAlignment="1">
      <alignment horizontal="right" vertical="top"/>
    </xf>
    <xf numFmtId="167" fontId="44" fillId="0" borderId="21" xfId="0" applyNumberFormat="1" applyFont="1" applyBorder="1" applyAlignment="1">
      <alignment horizontal="right" vertical="top"/>
    </xf>
    <xf numFmtId="49" fontId="89" fillId="0" borderId="21" xfId="0" applyNumberFormat="1" applyFont="1" applyBorder="1" applyAlignment="1">
      <alignment horizontal="left" wrapText="1"/>
    </xf>
    <xf numFmtId="49" fontId="90" fillId="0" borderId="21" xfId="0" applyNumberFormat="1" applyFont="1" applyBorder="1" applyAlignment="1">
      <alignment horizontal="left" vertical="top" wrapText="1"/>
    </xf>
    <xf numFmtId="49" fontId="89" fillId="0" borderId="21" xfId="0" applyNumberFormat="1" applyFont="1" applyBorder="1" applyAlignment="1">
      <alignment horizontal="left" vertical="top" wrapText="1"/>
    </xf>
    <xf numFmtId="0" fontId="44" fillId="0" borderId="17" xfId="0" applyFont="1" applyBorder="1" applyAlignment="1">
      <alignment horizontal="center" vertical="top"/>
    </xf>
    <xf numFmtId="0" fontId="44" fillId="0" borderId="18" xfId="0" applyFont="1" applyBorder="1" applyAlignment="1">
      <alignment horizontal="center" vertical="top"/>
    </xf>
    <xf numFmtId="0" fontId="45" fillId="0" borderId="18" xfId="0" applyFont="1" applyBorder="1" applyAlignment="1">
      <alignment horizontal="left"/>
    </xf>
    <xf numFmtId="0" fontId="46" fillId="0" borderId="18" xfId="0" applyFont="1" applyBorder="1" applyAlignment="1">
      <alignment horizontal="center" vertical="top"/>
    </xf>
    <xf numFmtId="0" fontId="45" fillId="0" borderId="18" xfId="0" applyFont="1" applyBorder="1" applyAlignment="1">
      <alignment horizontal="center" vertical="top"/>
    </xf>
    <xf numFmtId="0" fontId="45" fillId="0" borderId="18" xfId="0" applyFont="1" applyBorder="1" applyAlignment="1">
      <alignment horizontal="right" vertical="top"/>
    </xf>
    <xf numFmtId="167" fontId="45" fillId="0" borderId="19" xfId="0" applyNumberFormat="1" applyFont="1" applyBorder="1" applyAlignment="1">
      <alignment horizontal="right" vertical="top"/>
    </xf>
    <xf numFmtId="0" fontId="44" fillId="0" borderId="21" xfId="0" applyFont="1" applyBorder="1" applyAlignment="1">
      <alignment vertical="top"/>
    </xf>
    <xf numFmtId="0" fontId="51" fillId="0" borderId="21" xfId="0" applyFont="1" applyBorder="1" applyAlignment="1">
      <alignment horizontal="center" vertical="top" wrapText="1"/>
    </xf>
    <xf numFmtId="0" fontId="44" fillId="0" borderId="21" xfId="0" applyFont="1" applyBorder="1" applyAlignment="1">
      <alignment horizontal="center" vertical="center"/>
    </xf>
    <xf numFmtId="0" fontId="44" fillId="0" borderId="21" xfId="0" applyFont="1" applyBorder="1" applyAlignment="1">
      <alignment vertical="center" wrapText="1"/>
    </xf>
    <xf numFmtId="49" fontId="51" fillId="0" borderId="21" xfId="0" applyNumberFormat="1" applyFont="1" applyBorder="1" applyAlignment="1">
      <alignment horizontal="center" vertical="center" wrapText="1"/>
    </xf>
    <xf numFmtId="0" fontId="51" fillId="0" borderId="21" xfId="0" applyFont="1" applyBorder="1" applyAlignment="1">
      <alignment horizontal="center" vertical="center" wrapText="1"/>
    </xf>
    <xf numFmtId="167" fontId="44" fillId="0" borderId="21" xfId="0" applyNumberFormat="1" applyFont="1" applyBorder="1" applyAlignment="1">
      <alignment vertical="center"/>
    </xf>
    <xf numFmtId="167" fontId="44" fillId="0" borderId="21" xfId="0" applyNumberFormat="1" applyFont="1" applyBorder="1" applyAlignment="1">
      <alignment horizontal="right" vertical="center"/>
    </xf>
    <xf numFmtId="49" fontId="51" fillId="0" borderId="21" xfId="0" applyNumberFormat="1" applyFont="1" applyBorder="1" applyAlignment="1">
      <alignment horizontal="left" vertical="top" wrapText="1"/>
    </xf>
    <xf numFmtId="0" fontId="44" fillId="0" borderId="22" xfId="0" applyFont="1" applyBorder="1"/>
    <xf numFmtId="49" fontId="51" fillId="0" borderId="22" xfId="0" applyNumberFormat="1" applyFont="1" applyBorder="1" applyAlignment="1">
      <alignment horizontal="center" vertical="top" wrapText="1"/>
    </xf>
    <xf numFmtId="0" fontId="44" fillId="0" borderId="22" xfId="0" applyFont="1" applyBorder="1" applyAlignment="1">
      <alignment vertical="top"/>
    </xf>
    <xf numFmtId="49" fontId="51" fillId="0" borderId="18" xfId="0" applyNumberFormat="1" applyFont="1" applyBorder="1" applyAlignment="1">
      <alignment horizontal="center" vertical="top" wrapText="1"/>
    </xf>
    <xf numFmtId="0" fontId="44" fillId="0" borderId="18" xfId="0" applyFont="1" applyBorder="1" applyAlignment="1">
      <alignment vertical="top"/>
    </xf>
    <xf numFmtId="167" fontId="45" fillId="0" borderId="19" xfId="0" applyNumberFormat="1" applyFont="1" applyBorder="1" applyAlignment="1">
      <alignment vertical="top"/>
    </xf>
    <xf numFmtId="49" fontId="51" fillId="0" borderId="20" xfId="0" applyNumberFormat="1" applyFont="1" applyBorder="1" applyAlignment="1">
      <alignment horizontal="center" vertical="top" wrapText="1"/>
    </xf>
    <xf numFmtId="0" fontId="44" fillId="0" borderId="20" xfId="0" applyFont="1" applyBorder="1" applyAlignment="1">
      <alignment vertical="top"/>
    </xf>
    <xf numFmtId="0" fontId="44" fillId="0" borderId="23" xfId="0" applyFont="1" applyBorder="1" applyAlignment="1">
      <alignment horizontal="center" vertical="top"/>
    </xf>
    <xf numFmtId="0" fontId="44" fillId="0" borderId="24" xfId="0" applyFont="1" applyBorder="1" applyAlignment="1">
      <alignment horizontal="center" vertical="top"/>
    </xf>
    <xf numFmtId="0" fontId="45" fillId="0" borderId="24" xfId="0" applyFont="1" applyBorder="1" applyAlignment="1">
      <alignment horizontal="left"/>
    </xf>
    <xf numFmtId="49" fontId="51" fillId="0" borderId="24" xfId="0" applyNumberFormat="1" applyFont="1" applyBorder="1" applyAlignment="1">
      <alignment horizontal="center" vertical="top" wrapText="1"/>
    </xf>
    <xf numFmtId="0" fontId="44" fillId="0" borderId="24" xfId="0" applyFont="1" applyBorder="1" applyAlignment="1">
      <alignment vertical="top"/>
    </xf>
    <xf numFmtId="167" fontId="45" fillId="0" borderId="25" xfId="0" applyNumberFormat="1" applyFont="1" applyBorder="1" applyAlignment="1">
      <alignment vertical="top"/>
    </xf>
    <xf numFmtId="0" fontId="44" fillId="0" borderId="26" xfId="0" applyFont="1" applyBorder="1" applyAlignment="1">
      <alignment horizontal="center" vertical="top"/>
    </xf>
    <xf numFmtId="0" fontId="45" fillId="0" borderId="21" xfId="0" applyFont="1" applyBorder="1" applyAlignment="1">
      <alignment horizontal="left"/>
    </xf>
    <xf numFmtId="167" fontId="45" fillId="0" borderId="27" xfId="0" applyNumberFormat="1" applyFont="1" applyBorder="1" applyAlignment="1">
      <alignment vertical="top"/>
    </xf>
    <xf numFmtId="0" fontId="44" fillId="0" borderId="28" xfId="0" applyFont="1" applyBorder="1" applyAlignment="1">
      <alignment horizontal="center" vertical="top"/>
    </xf>
    <xf numFmtId="0" fontId="44" fillId="0" borderId="29" xfId="0" applyFont="1" applyBorder="1" applyAlignment="1">
      <alignment horizontal="center" vertical="top"/>
    </xf>
    <xf numFmtId="0" fontId="45" fillId="0" borderId="29" xfId="0" applyFont="1" applyBorder="1" applyAlignment="1">
      <alignment horizontal="left"/>
    </xf>
    <xf numFmtId="49" fontId="51" fillId="0" borderId="29" xfId="0" applyNumberFormat="1" applyFont="1" applyBorder="1" applyAlignment="1">
      <alignment horizontal="center" vertical="top" wrapText="1"/>
    </xf>
    <xf numFmtId="0" fontId="44" fillId="0" borderId="29" xfId="0" applyFont="1" applyBorder="1" applyAlignment="1">
      <alignment vertical="top"/>
    </xf>
    <xf numFmtId="167" fontId="45" fillId="0" borderId="30" xfId="0" applyNumberFormat="1" applyFont="1" applyBorder="1" applyAlignment="1">
      <alignment vertical="top"/>
    </xf>
    <xf numFmtId="0" fontId="44" fillId="0" borderId="0" xfId="0" applyFont="1" applyAlignment="1">
      <alignment horizontal="center" vertical="top"/>
    </xf>
    <xf numFmtId="0" fontId="44" fillId="0" borderId="0" xfId="0" applyFont="1" applyAlignment="1">
      <alignment vertical="top"/>
    </xf>
    <xf numFmtId="0" fontId="44" fillId="0" borderId="0" xfId="0" applyFont="1" applyAlignment="1">
      <alignment horizontal="right" vertical="top"/>
    </xf>
    <xf numFmtId="0" fontId="45" fillId="0" borderId="0" xfId="0" applyFont="1" applyAlignment="1">
      <alignment horizontal="center" vertical="top"/>
    </xf>
    <xf numFmtId="0" fontId="0" fillId="0" borderId="0" xfId="0" applyAlignment="1">
      <alignment horizontal="center"/>
    </xf>
    <xf numFmtId="0" fontId="52" fillId="0" borderId="0" xfId="0" applyFont="1" applyAlignment="1">
      <alignment vertical="top"/>
    </xf>
    <xf numFmtId="1" fontId="52" fillId="0" borderId="0" xfId="0" applyNumberFormat="1" applyFont="1" applyAlignment="1">
      <alignment vertical="top"/>
    </xf>
    <xf numFmtId="14" fontId="52" fillId="0" borderId="0" xfId="0" applyNumberFormat="1" applyFont="1" applyAlignment="1">
      <alignment vertical="top"/>
    </xf>
    <xf numFmtId="0" fontId="53" fillId="0" borderId="0" xfId="0" applyFont="1" applyAlignment="1">
      <alignment vertical="top"/>
    </xf>
    <xf numFmtId="0" fontId="52" fillId="0" borderId="0" xfId="0" applyFont="1" applyAlignment="1">
      <alignment vertical="top" wrapText="1"/>
    </xf>
    <xf numFmtId="166" fontId="52" fillId="0" borderId="0" xfId="0" applyNumberFormat="1" applyFont="1" applyAlignment="1">
      <alignment vertical="top"/>
    </xf>
    <xf numFmtId="0" fontId="52" fillId="3" borderId="0" xfId="0" applyFont="1" applyFill="1" applyAlignment="1">
      <alignment vertical="top" wrapText="1"/>
    </xf>
    <xf numFmtId="0" fontId="52" fillId="3" borderId="0" xfId="0" applyFont="1" applyFill="1" applyAlignment="1">
      <alignment vertical="top"/>
    </xf>
    <xf numFmtId="0" fontId="52" fillId="2" borderId="0" xfId="0" applyFont="1" applyFill="1" applyAlignment="1">
      <alignment vertical="top"/>
    </xf>
    <xf numFmtId="1" fontId="52" fillId="3" borderId="0" xfId="0" applyNumberFormat="1" applyFont="1" applyFill="1" applyAlignment="1">
      <alignment vertical="top"/>
    </xf>
    <xf numFmtId="0" fontId="0" fillId="3" borderId="0" xfId="0" applyFill="1" applyAlignment="1">
      <alignment vertical="top" wrapText="1"/>
    </xf>
    <xf numFmtId="2" fontId="52" fillId="0" borderId="0" xfId="0" applyNumberFormat="1" applyFont="1" applyAlignment="1">
      <alignment vertical="top"/>
    </xf>
    <xf numFmtId="2" fontId="52" fillId="2" borderId="0" xfId="0" applyNumberFormat="1" applyFont="1" applyFill="1" applyAlignment="1">
      <alignment vertical="top"/>
    </xf>
    <xf numFmtId="2" fontId="52" fillId="3" borderId="0" xfId="0" applyNumberFormat="1" applyFont="1" applyFill="1" applyAlignment="1">
      <alignment vertical="top"/>
    </xf>
    <xf numFmtId="0" fontId="52" fillId="0" borderId="0" xfId="0" applyFont="1"/>
    <xf numFmtId="1" fontId="52" fillId="0" borderId="0" xfId="0" applyNumberFormat="1" applyFont="1"/>
    <xf numFmtId="0" fontId="55" fillId="0" borderId="0" xfId="0" applyFont="1" applyAlignment="1">
      <alignment vertical="top"/>
    </xf>
    <xf numFmtId="0" fontId="81" fillId="0" borderId="0" xfId="0" applyFont="1" applyAlignment="1">
      <alignment horizontal="center" vertical="top"/>
    </xf>
    <xf numFmtId="1" fontId="7" fillId="0" borderId="0" xfId="0" applyNumberFormat="1" applyFont="1" applyAlignment="1">
      <alignment horizontal="left" vertical="top" wrapText="1"/>
    </xf>
    <xf numFmtId="49" fontId="77" fillId="0" borderId="0" xfId="0" applyNumberFormat="1" applyFont="1" applyAlignment="1">
      <alignment horizontal="center" vertical="top"/>
    </xf>
    <xf numFmtId="0" fontId="77" fillId="0" borderId="0" xfId="0" applyFont="1" applyAlignment="1">
      <alignment horizontal="center" vertical="top"/>
    </xf>
    <xf numFmtId="0" fontId="77" fillId="0" borderId="0" xfId="0" applyFont="1" applyAlignment="1">
      <alignment vertical="top"/>
    </xf>
    <xf numFmtId="4" fontId="78" fillId="0" borderId="0" xfId="0" applyNumberFormat="1" applyFont="1" applyAlignment="1">
      <alignment vertical="top" wrapText="1"/>
    </xf>
    <xf numFmtId="49" fontId="5" fillId="0" borderId="0" xfId="0" applyNumberFormat="1" applyFont="1" applyAlignment="1">
      <alignment horizontal="center" vertical="top" wrapText="1"/>
    </xf>
    <xf numFmtId="2" fontId="5" fillId="0" borderId="0" xfId="0" applyNumberFormat="1" applyFont="1" applyAlignment="1">
      <alignment horizontal="left" wrapText="1"/>
    </xf>
    <xf numFmtId="1" fontId="79" fillId="0" borderId="0" xfId="0" applyNumberFormat="1" applyFont="1" applyAlignment="1">
      <alignment horizontal="left" vertical="top" wrapText="1"/>
    </xf>
    <xf numFmtId="0" fontId="7" fillId="0" borderId="52" xfId="0" applyFont="1" applyBorder="1" applyAlignment="1">
      <alignment horizontal="center" vertical="top" wrapText="1"/>
    </xf>
    <xf numFmtId="2" fontId="7" fillId="0" borderId="52" xfId="0" applyNumberFormat="1" applyFont="1" applyBorder="1" applyAlignment="1">
      <alignment horizontal="center" vertical="top" wrapText="1"/>
    </xf>
    <xf numFmtId="3" fontId="7" fillId="0" borderId="53" xfId="0" applyNumberFormat="1" applyFont="1" applyBorder="1" applyAlignment="1" applyProtection="1">
      <alignment horizontal="center" vertical="top" wrapText="1"/>
      <protection locked="0"/>
    </xf>
    <xf numFmtId="0" fontId="5" fillId="0" borderId="0" xfId="0" applyFont="1" applyAlignment="1">
      <alignment horizontal="right"/>
    </xf>
    <xf numFmtId="0" fontId="81" fillId="0" borderId="0" xfId="0" applyFont="1" applyAlignment="1">
      <alignment horizontal="center" vertical="top" wrapText="1"/>
    </xf>
    <xf numFmtId="0" fontId="81" fillId="0" borderId="0" xfId="0" applyFont="1" applyAlignment="1">
      <alignment horizontal="left" vertical="top" wrapText="1"/>
    </xf>
    <xf numFmtId="0" fontId="77" fillId="0" borderId="0" xfId="0" applyFont="1" applyAlignment="1">
      <alignment wrapText="1"/>
    </xf>
    <xf numFmtId="0" fontId="81" fillId="0" borderId="0" xfId="0" applyFont="1" applyAlignment="1">
      <alignment wrapText="1"/>
    </xf>
    <xf numFmtId="49" fontId="77" fillId="0" borderId="0" xfId="0" applyNumberFormat="1" applyFont="1" applyAlignment="1">
      <alignment horizontal="left" vertical="top" wrapText="1"/>
    </xf>
    <xf numFmtId="0" fontId="77" fillId="0" borderId="0" xfId="0" applyFont="1" applyAlignment="1">
      <alignment vertical="top" wrapText="1"/>
    </xf>
    <xf numFmtId="2" fontId="91" fillId="0" borderId="0" xfId="0" applyNumberFormat="1" applyFont="1" applyAlignment="1">
      <alignment horizontal="left" vertical="top" wrapText="1"/>
    </xf>
    <xf numFmtId="0" fontId="77" fillId="0" borderId="0" xfId="1" applyFont="1" applyAlignment="1">
      <alignment vertical="top" wrapText="1"/>
    </xf>
    <xf numFmtId="3" fontId="5" fillId="0" borderId="0" xfId="0" applyNumberFormat="1" applyFont="1" applyProtection="1">
      <protection locked="0"/>
    </xf>
    <xf numFmtId="1" fontId="7" fillId="0" borderId="0" xfId="0" applyNumberFormat="1" applyFont="1" applyAlignment="1">
      <alignment horizontal="left" wrapText="1"/>
    </xf>
    <xf numFmtId="167" fontId="5" fillId="0" borderId="0" xfId="0" applyNumberFormat="1" applyFont="1" applyAlignment="1">
      <alignment wrapText="1"/>
    </xf>
    <xf numFmtId="3" fontId="5" fillId="0" borderId="0" xfId="0" applyNumberFormat="1" applyFont="1"/>
    <xf numFmtId="0" fontId="80" fillId="0" borderId="0" xfId="0" applyFont="1" applyAlignment="1">
      <alignment horizontal="left"/>
    </xf>
    <xf numFmtId="0" fontId="77" fillId="0" borderId="0" xfId="0" applyFont="1" applyAlignment="1">
      <alignment horizontal="right"/>
    </xf>
    <xf numFmtId="167" fontId="77" fillId="0" borderId="0" xfId="0" applyNumberFormat="1" applyFont="1" applyAlignment="1">
      <alignment horizontal="right"/>
    </xf>
    <xf numFmtId="0" fontId="78" fillId="0" borderId="0" xfId="0" applyFont="1" applyAlignment="1">
      <alignment horizontal="left" wrapText="1"/>
    </xf>
    <xf numFmtId="167" fontId="77" fillId="0" borderId="0" xfId="0" applyNumberFormat="1" applyFont="1" applyAlignment="1">
      <alignment vertical="top"/>
    </xf>
    <xf numFmtId="0" fontId="79" fillId="0" borderId="0" xfId="0" applyFont="1" applyAlignment="1">
      <alignment vertical="top" wrapText="1"/>
    </xf>
    <xf numFmtId="3" fontId="79" fillId="0" borderId="0" xfId="0" applyNumberFormat="1" applyFont="1" applyAlignment="1">
      <alignment vertical="top" wrapText="1"/>
    </xf>
    <xf numFmtId="49" fontId="5" fillId="0" borderId="0" xfId="0" applyNumberFormat="1" applyFont="1" applyAlignment="1">
      <alignment horizontal="center"/>
    </xf>
    <xf numFmtId="3" fontId="7" fillId="0" borderId="53" xfId="0" applyNumberFormat="1" applyFont="1" applyBorder="1" applyAlignment="1" applyProtection="1">
      <alignment horizontal="center" wrapText="1"/>
      <protection locked="0"/>
    </xf>
    <xf numFmtId="3" fontId="5" fillId="0" borderId="0" xfId="0" applyNumberFormat="1" applyFont="1" applyAlignment="1">
      <alignment horizontal="right" wrapText="1"/>
    </xf>
    <xf numFmtId="0" fontId="5" fillId="0" borderId="0" xfId="0" applyFont="1" applyAlignment="1">
      <alignment horizontal="right" wrapText="1"/>
    </xf>
    <xf numFmtId="3" fontId="77" fillId="0" borderId="0" xfId="0" applyNumberFormat="1" applyFont="1" applyAlignment="1">
      <alignment horizontal="right"/>
    </xf>
    <xf numFmtId="2" fontId="7" fillId="0" borderId="52" xfId="0" applyNumberFormat="1" applyFont="1" applyBorder="1" applyAlignment="1">
      <alignment horizontal="center" wrapText="1"/>
    </xf>
    <xf numFmtId="3" fontId="7" fillId="0" borderId="52" xfId="0" applyNumberFormat="1" applyFont="1" applyBorder="1" applyAlignment="1">
      <alignment horizontal="center" wrapText="1"/>
    </xf>
    <xf numFmtId="0" fontId="77" fillId="0" borderId="0" xfId="0" applyFont="1" applyAlignment="1">
      <alignment horizontal="left"/>
    </xf>
    <xf numFmtId="2" fontId="5" fillId="0" borderId="0" xfId="0" applyNumberFormat="1" applyFont="1" applyAlignment="1">
      <alignment horizontal="right" wrapText="1"/>
    </xf>
    <xf numFmtId="4" fontId="4" fillId="0" borderId="0" xfId="0" applyNumberFormat="1" applyFont="1" applyAlignment="1">
      <alignment horizontal="right"/>
    </xf>
    <xf numFmtId="167" fontId="4" fillId="0" borderId="0" xfId="0" applyNumberFormat="1" applyFont="1" applyAlignment="1">
      <alignment horizontal="right"/>
    </xf>
    <xf numFmtId="167" fontId="5" fillId="0" borderId="0" xfId="0" applyNumberFormat="1" applyFont="1" applyAlignment="1">
      <alignment horizontal="right" wrapText="1"/>
    </xf>
    <xf numFmtId="3" fontId="5" fillId="0" borderId="0" xfId="0" applyNumberFormat="1" applyFont="1" applyAlignment="1">
      <alignment horizontal="right" vertical="top" wrapText="1"/>
    </xf>
    <xf numFmtId="3" fontId="5" fillId="0" borderId="0" xfId="0" applyNumberFormat="1" applyFont="1" applyAlignment="1">
      <alignment vertical="top" wrapText="1"/>
    </xf>
    <xf numFmtId="0" fontId="92" fillId="0" borderId="0" xfId="0" applyFont="1" applyAlignment="1">
      <alignment wrapText="1"/>
    </xf>
    <xf numFmtId="0" fontId="77" fillId="0" borderId="0" xfId="0" applyFont="1" applyAlignment="1">
      <alignment horizontal="center" vertical="top" wrapText="1"/>
    </xf>
    <xf numFmtId="3" fontId="77" fillId="0" borderId="0" xfId="0" applyNumberFormat="1" applyFont="1" applyAlignment="1">
      <alignment vertical="top" wrapText="1"/>
    </xf>
    <xf numFmtId="3" fontId="5" fillId="0" borderId="0" xfId="0" applyNumberFormat="1" applyFont="1" applyAlignment="1" applyProtection="1">
      <alignment vertical="top" wrapText="1"/>
      <protection locked="0"/>
    </xf>
    <xf numFmtId="0" fontId="13" fillId="0" borderId="0" xfId="0" applyFont="1" applyAlignment="1">
      <alignment horizontal="center" vertical="top" wrapText="1"/>
    </xf>
    <xf numFmtId="3" fontId="13" fillId="0" borderId="0" xfId="0" applyNumberFormat="1" applyFont="1" applyAlignment="1" applyProtection="1">
      <alignment vertical="top" wrapText="1"/>
      <protection locked="0"/>
    </xf>
    <xf numFmtId="0" fontId="13" fillId="0" borderId="0" xfId="0" applyFont="1" applyAlignment="1">
      <alignment vertical="top"/>
    </xf>
    <xf numFmtId="167" fontId="13" fillId="0" borderId="0" xfId="0" applyNumberFormat="1" applyFont="1" applyAlignment="1">
      <alignment vertical="top" wrapText="1"/>
    </xf>
    <xf numFmtId="0" fontId="5" fillId="0" borderId="0" xfId="0" applyFont="1" applyAlignment="1">
      <alignment horizontal="right" vertical="top"/>
    </xf>
    <xf numFmtId="0" fontId="5" fillId="0" borderId="0" xfId="0" applyFont="1" applyAlignment="1">
      <alignment vertical="top" wrapText="1" readingOrder="1"/>
    </xf>
    <xf numFmtId="3" fontId="5" fillId="0" borderId="0" xfId="0" applyNumberFormat="1" applyFont="1" applyAlignment="1">
      <alignment vertical="top" wrapText="1" readingOrder="1"/>
    </xf>
    <xf numFmtId="2" fontId="77" fillId="0" borderId="0" xfId="0" applyNumberFormat="1" applyFont="1" applyAlignment="1">
      <alignment vertical="top" wrapText="1"/>
    </xf>
    <xf numFmtId="0" fontId="9" fillId="0" borderId="0" xfId="0" applyFont="1" applyAlignment="1">
      <alignment horizontal="center" vertical="top" wrapText="1"/>
    </xf>
    <xf numFmtId="4" fontId="5" fillId="0" borderId="0" xfId="0" applyNumberFormat="1" applyFont="1" applyAlignment="1">
      <alignment horizontal="right" vertical="top" wrapText="1"/>
    </xf>
    <xf numFmtId="1" fontId="79" fillId="0" borderId="0" xfId="0" applyNumberFormat="1" applyFont="1" applyAlignment="1">
      <alignment horizontal="left" vertical="top"/>
    </xf>
    <xf numFmtId="0" fontId="7" fillId="0" borderId="0" xfId="0" applyFont="1" applyAlignment="1">
      <alignment horizontal="left" vertical="top"/>
    </xf>
    <xf numFmtId="0" fontId="93" fillId="0" borderId="0" xfId="0" applyFont="1" applyAlignment="1">
      <alignment horizontal="left" vertical="top" wrapText="1"/>
    </xf>
    <xf numFmtId="0" fontId="13" fillId="0" borderId="0" xfId="0" applyFont="1" applyAlignment="1">
      <alignment horizontal="left" vertical="top" wrapText="1"/>
    </xf>
    <xf numFmtId="4" fontId="4" fillId="0" borderId="0" xfId="0" applyNumberFormat="1" applyFont="1" applyAlignment="1">
      <alignment horizontal="right" vertical="top"/>
    </xf>
    <xf numFmtId="3" fontId="79" fillId="0" borderId="0" xfId="0" applyNumberFormat="1" applyFont="1" applyAlignment="1">
      <alignment horizontal="left" vertical="top" wrapText="1"/>
    </xf>
    <xf numFmtId="0" fontId="4" fillId="0" borderId="0" xfId="0" applyFont="1" applyAlignment="1">
      <alignment horizontal="left" vertical="top" wrapText="1"/>
    </xf>
    <xf numFmtId="49" fontId="77" fillId="0" borderId="0" xfId="0" applyNumberFormat="1" applyFont="1" applyAlignment="1" applyProtection="1">
      <alignment horizontal="left" vertical="top" wrapText="1"/>
      <protection locked="0"/>
    </xf>
    <xf numFmtId="0" fontId="77" fillId="0" borderId="0" xfId="0" applyFont="1" applyAlignment="1" applyProtection="1">
      <alignment horizontal="left" vertical="top" wrapText="1"/>
      <protection locked="0"/>
    </xf>
    <xf numFmtId="2" fontId="5" fillId="0" borderId="0" xfId="0" applyNumberFormat="1" applyFont="1" applyAlignment="1">
      <alignment horizontal="right" vertical="top" wrapText="1"/>
    </xf>
    <xf numFmtId="4" fontId="77" fillId="0" borderId="0" xfId="0" applyNumberFormat="1" applyFont="1" applyAlignment="1" applyProtection="1">
      <alignment horizontal="right" vertical="top"/>
      <protection locked="0"/>
    </xf>
    <xf numFmtId="3" fontId="77" fillId="0" borderId="0" xfId="0" applyNumberFormat="1" applyFont="1" applyAlignment="1" applyProtection="1">
      <alignment horizontal="right" vertical="top"/>
      <protection locked="0"/>
    </xf>
    <xf numFmtId="4" fontId="77" fillId="0" borderId="0" xfId="0" applyNumberFormat="1" applyFont="1" applyAlignment="1">
      <alignment horizontal="right" vertical="top" wrapText="1"/>
    </xf>
    <xf numFmtId="49" fontId="5" fillId="0" borderId="0" xfId="0" applyNumberFormat="1" applyFont="1" applyAlignment="1">
      <alignment horizontal="center" vertical="top"/>
    </xf>
    <xf numFmtId="0" fontId="10" fillId="0" borderId="0" xfId="0" applyFont="1" applyAlignment="1">
      <alignment horizontal="center" vertical="top" wrapText="1"/>
    </xf>
    <xf numFmtId="2" fontId="5" fillId="0" borderId="0" xfId="0" applyNumberFormat="1" applyFont="1" applyAlignment="1">
      <alignment horizontal="right" vertical="top"/>
    </xf>
    <xf numFmtId="4" fontId="5" fillId="0" borderId="0" xfId="0" applyNumberFormat="1" applyFont="1" applyAlignment="1">
      <alignment horizontal="right" vertical="top"/>
    </xf>
    <xf numFmtId="3" fontId="13" fillId="0" borderId="0" xfId="0" applyNumberFormat="1" applyFont="1" applyAlignment="1">
      <alignment horizontal="right" vertical="top" wrapText="1"/>
    </xf>
    <xf numFmtId="0" fontId="10" fillId="0" borderId="0" xfId="0" applyFont="1" applyAlignment="1">
      <alignment horizontal="left" vertical="top" wrapText="1"/>
    </xf>
    <xf numFmtId="2" fontId="7" fillId="0" borderId="0" xfId="0" applyNumberFormat="1" applyFont="1" applyAlignment="1">
      <alignment horizontal="right" vertical="top"/>
    </xf>
    <xf numFmtId="167" fontId="7" fillId="0" borderId="0" xfId="0" applyNumberFormat="1" applyFont="1" applyAlignment="1">
      <alignment horizontal="right" vertical="top"/>
    </xf>
    <xf numFmtId="3" fontId="7" fillId="0" borderId="0" xfId="0" applyNumberFormat="1" applyFont="1" applyAlignment="1">
      <alignment horizontal="right" vertical="top"/>
    </xf>
    <xf numFmtId="167" fontId="5" fillId="0" borderId="0" xfId="0" applyNumberFormat="1" applyFont="1" applyAlignment="1">
      <alignment horizontal="right" vertical="top"/>
    </xf>
    <xf numFmtId="4" fontId="4" fillId="0" borderId="0" xfId="0" applyNumberFormat="1" applyFont="1" applyAlignment="1">
      <alignment horizontal="right" vertical="top" wrapText="1"/>
    </xf>
    <xf numFmtId="167" fontId="5" fillId="0" borderId="0" xfId="0" applyNumberFormat="1" applyFont="1" applyAlignment="1">
      <alignment horizontal="right" vertical="top" wrapText="1"/>
    </xf>
    <xf numFmtId="3" fontId="5" fillId="0" borderId="0" xfId="0" applyNumberFormat="1" applyFont="1" applyAlignment="1" applyProtection="1">
      <alignment horizontal="right" vertical="top"/>
      <protection locked="0"/>
    </xf>
    <xf numFmtId="2" fontId="79" fillId="0" borderId="0" xfId="0" applyNumberFormat="1" applyFont="1" applyAlignment="1">
      <alignment horizontal="right" vertical="top" wrapText="1"/>
    </xf>
    <xf numFmtId="0" fontId="5" fillId="0" borderId="0" xfId="0" applyFont="1" applyAlignment="1">
      <alignment horizontal="right" vertical="top" wrapText="1"/>
    </xf>
    <xf numFmtId="9" fontId="5" fillId="0" borderId="0" xfId="0" applyNumberFormat="1" applyFont="1" applyAlignment="1">
      <alignment vertical="top"/>
    </xf>
    <xf numFmtId="4" fontId="5" fillId="0" borderId="0" xfId="0" applyNumberFormat="1" applyFont="1" applyAlignment="1">
      <alignment horizontal="center" vertical="top"/>
    </xf>
    <xf numFmtId="9" fontId="5" fillId="0" borderId="0" xfId="0" applyNumberFormat="1" applyFont="1" applyAlignment="1">
      <alignment horizontal="center" vertical="top" wrapText="1"/>
    </xf>
    <xf numFmtId="3" fontId="5" fillId="0" borderId="0" xfId="0" applyNumberFormat="1" applyFont="1" applyAlignment="1">
      <alignment horizontal="center" vertical="top" wrapText="1"/>
    </xf>
    <xf numFmtId="10" fontId="5" fillId="0" borderId="0" xfId="0" applyNumberFormat="1" applyFont="1" applyAlignment="1">
      <alignment vertical="top"/>
    </xf>
    <xf numFmtId="49" fontId="7" fillId="0" borderId="54" xfId="0" applyNumberFormat="1" applyFont="1" applyBorder="1" applyAlignment="1">
      <alignment horizontal="center" vertical="top"/>
    </xf>
    <xf numFmtId="1" fontId="7" fillId="0" borderId="55" xfId="0" applyNumberFormat="1" applyFont="1" applyBorder="1" applyAlignment="1">
      <alignment horizontal="center" vertical="top" wrapText="1"/>
    </xf>
    <xf numFmtId="167" fontId="7" fillId="0" borderId="52" xfId="0" applyNumberFormat="1" applyFont="1" applyBorder="1" applyAlignment="1">
      <alignment horizontal="center" vertical="top" wrapText="1"/>
    </xf>
    <xf numFmtId="9" fontId="5" fillId="0" borderId="0" xfId="0" applyNumberFormat="1" applyFont="1" applyAlignment="1">
      <alignment horizontal="center" vertical="top"/>
    </xf>
    <xf numFmtId="10" fontId="5" fillId="0" borderId="0" xfId="0" applyNumberFormat="1" applyFont="1" applyAlignment="1">
      <alignment horizontal="center" vertical="top"/>
    </xf>
    <xf numFmtId="0" fontId="83" fillId="0" borderId="0" xfId="0" applyFont="1" applyAlignment="1">
      <alignment vertical="top" wrapText="1"/>
    </xf>
    <xf numFmtId="9" fontId="5" fillId="0" borderId="0" xfId="0" applyNumberFormat="1" applyFont="1" applyAlignment="1">
      <alignment vertical="top" wrapText="1"/>
    </xf>
    <xf numFmtId="49" fontId="7" fillId="0" borderId="54" xfId="0" applyNumberFormat="1" applyFont="1" applyBorder="1" applyAlignment="1">
      <alignment horizontal="center"/>
    </xf>
    <xf numFmtId="1" fontId="7" fillId="0" borderId="55" xfId="0" applyNumberFormat="1" applyFont="1" applyBorder="1" applyAlignment="1">
      <alignment horizontal="center" wrapText="1"/>
    </xf>
    <xf numFmtId="0" fontId="7" fillId="0" borderId="52" xfId="0" applyFont="1" applyBorder="1" applyAlignment="1">
      <alignment horizontal="center" wrapText="1"/>
    </xf>
    <xf numFmtId="1" fontId="7" fillId="0" borderId="0" xfId="0" applyNumberFormat="1" applyFont="1" applyAlignment="1">
      <alignment horizontal="left"/>
    </xf>
    <xf numFmtId="3" fontId="5" fillId="0" borderId="0" xfId="0" applyNumberFormat="1" applyFont="1" applyAlignment="1">
      <alignment horizontal="left" vertical="top"/>
    </xf>
    <xf numFmtId="9" fontId="5" fillId="0" borderId="0" xfId="0" applyNumberFormat="1" applyFont="1" applyAlignment="1">
      <alignment horizontal="left" vertical="top"/>
    </xf>
    <xf numFmtId="10" fontId="5" fillId="0" borderId="0" xfId="0" applyNumberFormat="1" applyFont="1" applyAlignment="1">
      <alignment horizontal="left" vertical="top"/>
    </xf>
    <xf numFmtId="0" fontId="78" fillId="0" borderId="0" xfId="0" applyFont="1" applyAlignment="1">
      <alignment horizontal="left"/>
    </xf>
    <xf numFmtId="4" fontId="4" fillId="0" borderId="0" xfId="0" applyNumberFormat="1" applyFont="1"/>
    <xf numFmtId="0" fontId="81" fillId="0" borderId="0" xfId="0" applyFont="1" applyAlignment="1">
      <alignment vertical="top" wrapText="1"/>
    </xf>
    <xf numFmtId="0" fontId="79" fillId="0" borderId="0" xfId="0" applyFont="1" applyAlignment="1">
      <alignment horizontal="center" vertical="top" wrapText="1"/>
    </xf>
    <xf numFmtId="0" fontId="4" fillId="0" borderId="0" xfId="0" applyFont="1" applyAlignment="1">
      <alignment horizontal="center"/>
    </xf>
    <xf numFmtId="0" fontId="4" fillId="0" borderId="0" xfId="0" applyFont="1" applyAlignment="1">
      <alignment horizontal="center" wrapText="1"/>
    </xf>
    <xf numFmtId="167" fontId="4" fillId="0" borderId="0" xfId="0" applyNumberFormat="1" applyFont="1"/>
    <xf numFmtId="3" fontId="4" fillId="0" borderId="0" xfId="0" applyNumberFormat="1" applyFont="1"/>
    <xf numFmtId="0" fontId="29" fillId="0" borderId="43" xfId="0" applyFont="1" applyBorder="1" applyAlignment="1" applyProtection="1">
      <alignment horizontal="center" wrapText="1"/>
      <protection locked="0"/>
    </xf>
    <xf numFmtId="168" fontId="29" fillId="0" borderId="43" xfId="0" applyNumberFormat="1" applyFont="1" applyBorder="1" applyProtection="1">
      <protection locked="0"/>
    </xf>
    <xf numFmtId="167" fontId="29" fillId="0" borderId="43" xfId="0" applyNumberFormat="1" applyFont="1" applyBorder="1" applyProtection="1">
      <protection locked="0"/>
    </xf>
    <xf numFmtId="3" fontId="29" fillId="0" borderId="43" xfId="0" applyNumberFormat="1" applyFont="1" applyBorder="1" applyProtection="1">
      <protection locked="0"/>
    </xf>
    <xf numFmtId="2" fontId="78" fillId="0" borderId="0" xfId="0" applyNumberFormat="1" applyFont="1" applyAlignment="1">
      <alignment horizontal="right"/>
    </xf>
    <xf numFmtId="49" fontId="29" fillId="0" borderId="43" xfId="0" applyNumberFormat="1" applyFont="1" applyBorder="1" applyAlignment="1" applyProtection="1">
      <alignment horizontal="left" vertical="top" wrapText="1"/>
      <protection locked="0"/>
    </xf>
    <xf numFmtId="0" fontId="26" fillId="0" borderId="43" xfId="0" applyFont="1" applyBorder="1" applyAlignment="1" applyProtection="1">
      <alignment horizontal="left" vertical="top" wrapText="1"/>
      <protection locked="0"/>
    </xf>
    <xf numFmtId="9" fontId="9" fillId="0" borderId="0" xfId="0" applyNumberFormat="1" applyFont="1"/>
    <xf numFmtId="3" fontId="9" fillId="0" borderId="0" xfId="0" applyNumberFormat="1" applyFont="1"/>
    <xf numFmtId="3" fontId="9" fillId="0" borderId="0" xfId="0" applyNumberFormat="1" applyFont="1" applyAlignment="1">
      <alignment horizontal="right" wrapText="1"/>
    </xf>
    <xf numFmtId="10" fontId="9" fillId="0" borderId="0" xfId="0" applyNumberFormat="1" applyFont="1"/>
    <xf numFmtId="49" fontId="94" fillId="0" borderId="0" xfId="0" applyNumberFormat="1" applyFont="1" applyAlignment="1">
      <alignment horizontal="center" wrapText="1"/>
    </xf>
    <xf numFmtId="1" fontId="95" fillId="0" borderId="0" xfId="0" applyNumberFormat="1" applyFont="1" applyAlignment="1">
      <alignment horizontal="left" wrapText="1"/>
    </xf>
    <xf numFmtId="0" fontId="96" fillId="0" borderId="0" xfId="0" applyFont="1" applyAlignment="1">
      <alignment horizontal="center" wrapText="1"/>
    </xf>
    <xf numFmtId="0" fontId="94" fillId="0" borderId="0" xfId="0" applyFont="1" applyAlignment="1">
      <alignment horizontal="center" wrapText="1"/>
    </xf>
    <xf numFmtId="2" fontId="94" fillId="0" borderId="0" xfId="0" applyNumberFormat="1" applyFont="1" applyAlignment="1">
      <alignment horizontal="left" wrapText="1"/>
    </xf>
    <xf numFmtId="167" fontId="94" fillId="0" borderId="0" xfId="0" applyNumberFormat="1" applyFont="1" applyAlignment="1">
      <alignment horizontal="left" wrapText="1"/>
    </xf>
    <xf numFmtId="2" fontId="94" fillId="0" borderId="0" xfId="0" applyNumberFormat="1" applyFont="1" applyAlignment="1">
      <alignment wrapText="1"/>
    </xf>
    <xf numFmtId="0" fontId="94" fillId="0" borderId="0" xfId="0" applyFont="1" applyAlignment="1">
      <alignment wrapText="1"/>
    </xf>
    <xf numFmtId="0" fontId="94" fillId="0" borderId="0" xfId="0" applyFont="1" applyAlignment="1">
      <alignment horizontal="left" wrapText="1"/>
    </xf>
    <xf numFmtId="2" fontId="97" fillId="0" borderId="0" xfId="0" applyNumberFormat="1" applyFont="1" applyAlignment="1">
      <alignment horizontal="right" wrapText="1"/>
    </xf>
    <xf numFmtId="2" fontId="94" fillId="0" borderId="0" xfId="0" applyNumberFormat="1" applyFont="1" applyAlignment="1">
      <alignment horizontal="right" wrapText="1"/>
    </xf>
    <xf numFmtId="2" fontId="97" fillId="0" borderId="0" xfId="0" applyNumberFormat="1" applyFont="1" applyAlignment="1">
      <alignment horizontal="center" wrapText="1"/>
    </xf>
    <xf numFmtId="1" fontId="95" fillId="0" borderId="54" xfId="0" applyNumberFormat="1" applyFont="1" applyBorder="1" applyAlignment="1">
      <alignment horizontal="center"/>
    </xf>
    <xf numFmtId="1" fontId="95" fillId="0" borderId="55" xfId="0" applyNumberFormat="1" applyFont="1" applyBorder="1" applyAlignment="1">
      <alignment horizontal="center" wrapText="1"/>
    </xf>
    <xf numFmtId="0" fontId="95" fillId="0" borderId="52" xfId="0" applyFont="1" applyBorder="1" applyAlignment="1">
      <alignment horizontal="center" wrapText="1"/>
    </xf>
    <xf numFmtId="2" fontId="95" fillId="0" borderId="52" xfId="0" applyNumberFormat="1" applyFont="1" applyBorder="1" applyAlignment="1">
      <alignment horizontal="center" wrapText="1"/>
    </xf>
    <xf numFmtId="3" fontId="95" fillId="0" borderId="52" xfId="0" applyNumberFormat="1" applyFont="1" applyBorder="1" applyAlignment="1">
      <alignment horizontal="center" wrapText="1"/>
    </xf>
    <xf numFmtId="2" fontId="95" fillId="0" borderId="53" xfId="0" applyNumberFormat="1" applyFont="1" applyBorder="1" applyAlignment="1" applyProtection="1">
      <alignment horizontal="center" wrapText="1"/>
      <protection locked="0"/>
    </xf>
    <xf numFmtId="2" fontId="95" fillId="0" borderId="21" xfId="0" applyNumberFormat="1" applyFont="1" applyBorder="1" applyAlignment="1">
      <alignment horizontal="center" wrapText="1"/>
    </xf>
    <xf numFmtId="0" fontId="98" fillId="0" borderId="0" xfId="0" applyFont="1" applyAlignment="1">
      <alignment wrapText="1"/>
    </xf>
    <xf numFmtId="0" fontId="98" fillId="0" borderId="0" xfId="0" applyFont="1"/>
    <xf numFmtId="9" fontId="98" fillId="0" borderId="0" xfId="0" applyNumberFormat="1" applyFont="1"/>
    <xf numFmtId="3" fontId="98" fillId="0" borderId="0" xfId="0" applyNumberFormat="1" applyFont="1"/>
    <xf numFmtId="3" fontId="98" fillId="0" borderId="0" xfId="0" applyNumberFormat="1" applyFont="1" applyAlignment="1">
      <alignment horizontal="right" wrapText="1"/>
    </xf>
    <xf numFmtId="10" fontId="98" fillId="0" borderId="0" xfId="0" applyNumberFormat="1" applyFont="1"/>
    <xf numFmtId="0" fontId="94" fillId="0" borderId="0" xfId="0" applyFont="1" applyAlignment="1">
      <alignment horizontal="left" vertical="top" wrapText="1"/>
    </xf>
    <xf numFmtId="0" fontId="99" fillId="0" borderId="0" xfId="0" applyFont="1" applyAlignment="1">
      <alignment horizontal="left"/>
    </xf>
    <xf numFmtId="0" fontId="99" fillId="0" borderId="0" xfId="0" applyFont="1" applyAlignment="1">
      <alignment wrapText="1"/>
    </xf>
    <xf numFmtId="0" fontId="94" fillId="0" borderId="0" xfId="0" applyFont="1" applyAlignment="1">
      <alignment horizontal="center"/>
    </xf>
    <xf numFmtId="0" fontId="95" fillId="0" borderId="0" xfId="0" applyFont="1" applyAlignment="1">
      <alignment wrapText="1"/>
    </xf>
    <xf numFmtId="0" fontId="95" fillId="0" borderId="0" xfId="0" applyFont="1" applyAlignment="1">
      <alignment horizontal="center" wrapText="1"/>
    </xf>
    <xf numFmtId="2" fontId="95" fillId="0" borderId="0" xfId="0" applyNumberFormat="1" applyFont="1"/>
    <xf numFmtId="0" fontId="99" fillId="0" borderId="0" xfId="0" applyFont="1" applyAlignment="1">
      <alignment horizontal="left" wrapText="1"/>
    </xf>
    <xf numFmtId="0" fontId="95" fillId="0" borderId="0" xfId="0" applyFont="1"/>
    <xf numFmtId="0" fontId="95" fillId="0" borderId="0" xfId="0" applyFont="1" applyAlignment="1">
      <alignment horizontal="center"/>
    </xf>
    <xf numFmtId="1" fontId="95" fillId="0" borderId="0" xfId="0" applyNumberFormat="1" applyFont="1" applyAlignment="1">
      <alignment wrapText="1"/>
    </xf>
    <xf numFmtId="0" fontId="95" fillId="0" borderId="0" xfId="0" applyFont="1" applyAlignment="1">
      <alignment horizontal="left" wrapText="1"/>
    </xf>
    <xf numFmtId="0" fontId="101" fillId="0" borderId="0" xfId="0" applyFont="1" applyAlignment="1">
      <alignment horizontal="left"/>
    </xf>
    <xf numFmtId="0" fontId="94" fillId="0" borderId="0" xfId="0" applyFont="1" applyAlignment="1">
      <alignment horizontal="left"/>
    </xf>
    <xf numFmtId="0" fontId="101" fillId="0" borderId="0" xfId="0" applyFont="1" applyAlignment="1">
      <alignment horizontal="left" wrapText="1"/>
    </xf>
    <xf numFmtId="0" fontId="102" fillId="0" borderId="0" xfId="0" applyFont="1" applyAlignment="1">
      <alignment wrapText="1"/>
    </xf>
    <xf numFmtId="0" fontId="103" fillId="0" borderId="0" xfId="0" applyFont="1" applyAlignment="1">
      <alignment wrapText="1"/>
    </xf>
    <xf numFmtId="0" fontId="103" fillId="0" borderId="0" xfId="0" applyFont="1" applyAlignment="1">
      <alignment horizontal="center" wrapText="1"/>
    </xf>
    <xf numFmtId="0" fontId="103" fillId="0" borderId="0" xfId="0" applyFont="1" applyAlignment="1">
      <alignment vertical="top" wrapText="1"/>
    </xf>
    <xf numFmtId="167" fontId="94" fillId="0" borderId="0" xfId="0" applyNumberFormat="1" applyFont="1" applyAlignment="1">
      <alignment wrapText="1"/>
    </xf>
    <xf numFmtId="1" fontId="95" fillId="0" borderId="0" xfId="0" applyNumberFormat="1" applyFont="1"/>
    <xf numFmtId="3" fontId="95" fillId="0" borderId="0" xfId="0" applyNumberFormat="1" applyFont="1"/>
    <xf numFmtId="0" fontId="10" fillId="0" borderId="0" xfId="0" applyFont="1" applyAlignment="1">
      <alignment horizontal="center" wrapText="1"/>
    </xf>
    <xf numFmtId="0" fontId="13" fillId="0" borderId="0" xfId="0" applyFont="1" applyAlignment="1">
      <alignment horizontal="center" wrapText="1"/>
    </xf>
    <xf numFmtId="0" fontId="15" fillId="0" borderId="0" xfId="0" applyFont="1" applyAlignment="1">
      <alignment wrapText="1"/>
    </xf>
    <xf numFmtId="0" fontId="97" fillId="0" borderId="0" xfId="0" applyFont="1" applyAlignment="1">
      <alignment wrapText="1"/>
    </xf>
    <xf numFmtId="0" fontId="17" fillId="0" borderId="0" xfId="0" applyFont="1" applyAlignment="1">
      <alignment wrapText="1"/>
    </xf>
    <xf numFmtId="4" fontId="8" fillId="0" borderId="0" xfId="0" applyNumberFormat="1" applyFont="1" applyAlignment="1">
      <alignment horizontal="left"/>
    </xf>
    <xf numFmtId="4" fontId="8" fillId="0" borderId="0" xfId="0" applyNumberFormat="1" applyFont="1"/>
    <xf numFmtId="3" fontId="7" fillId="0" borderId="0" xfId="0" applyNumberFormat="1" applyFont="1" applyAlignment="1">
      <alignment horizontal="right" wrapText="1"/>
    </xf>
    <xf numFmtId="3" fontId="11" fillId="0" borderId="0" xfId="0" applyNumberFormat="1" applyFont="1" applyAlignment="1">
      <alignment horizontal="center" wrapText="1"/>
    </xf>
    <xf numFmtId="49" fontId="5" fillId="0" borderId="0" xfId="0" applyNumberFormat="1" applyFont="1"/>
    <xf numFmtId="4" fontId="8" fillId="0" borderId="21" xfId="0" applyNumberFormat="1" applyFont="1" applyBorder="1" applyAlignment="1">
      <alignment horizontal="center" wrapText="1"/>
    </xf>
    <xf numFmtId="0" fontId="8" fillId="0" borderId="0" xfId="0" applyFont="1"/>
    <xf numFmtId="1" fontId="95" fillId="0" borderId="0" xfId="0" applyNumberFormat="1" applyFont="1" applyAlignment="1">
      <alignment horizontal="left"/>
    </xf>
    <xf numFmtId="4" fontId="101" fillId="0" borderId="0" xfId="0" applyNumberFormat="1" applyFont="1"/>
    <xf numFmtId="0" fontId="94" fillId="0" borderId="0" xfId="0" applyFont="1" applyAlignment="1">
      <alignment horizontal="right"/>
    </xf>
    <xf numFmtId="3" fontId="94" fillId="0" borderId="0" xfId="0" applyNumberFormat="1" applyFont="1" applyAlignment="1">
      <alignment horizontal="right"/>
    </xf>
    <xf numFmtId="0" fontId="0" fillId="0" borderId="0" xfId="0" applyAlignment="1">
      <alignment horizontal="right"/>
    </xf>
    <xf numFmtId="3" fontId="0" fillId="0" borderId="0" xfId="0" applyNumberFormat="1" applyAlignment="1">
      <alignment horizontal="right"/>
    </xf>
    <xf numFmtId="0" fontId="54" fillId="0" borderId="21" xfId="0" applyFont="1" applyBorder="1" applyAlignment="1">
      <alignment vertical="top" wrapText="1"/>
    </xf>
    <xf numFmtId="1" fontId="54" fillId="0" borderId="21" xfId="0" applyNumberFormat="1" applyFont="1" applyBorder="1" applyAlignment="1">
      <alignment vertical="top" wrapText="1"/>
    </xf>
    <xf numFmtId="0" fontId="55" fillId="0" borderId="0" xfId="0" applyFont="1" applyAlignment="1">
      <alignment horizontal="left" vertical="center"/>
    </xf>
    <xf numFmtId="0" fontId="55" fillId="0" borderId="0" xfId="0" applyFont="1"/>
    <xf numFmtId="0" fontId="55" fillId="0" borderId="21" xfId="0" applyFont="1" applyBorder="1" applyAlignment="1">
      <alignment vertical="top" wrapText="1"/>
    </xf>
    <xf numFmtId="167" fontId="5" fillId="0" borderId="0" xfId="0" applyNumberFormat="1" applyFont="1" applyAlignment="1">
      <alignment horizontal="center" vertical="top" wrapText="1"/>
    </xf>
    <xf numFmtId="3" fontId="66" fillId="0" borderId="0" xfId="0" applyNumberFormat="1" applyFont="1" applyAlignment="1">
      <alignment horizontal="left"/>
    </xf>
    <xf numFmtId="0" fontId="0" fillId="0" borderId="0" xfId="0" applyAlignment="1">
      <alignment horizontal="center" wrapText="1"/>
    </xf>
    <xf numFmtId="0" fontId="58" fillId="0" borderId="0" xfId="0" applyFont="1" applyAlignment="1">
      <alignment horizontal="center" vertical="center" wrapText="1"/>
    </xf>
    <xf numFmtId="167" fontId="7" fillId="0" borderId="21" xfId="0" applyNumberFormat="1" applyFont="1" applyBorder="1" applyAlignment="1">
      <alignment horizontal="center" vertical="top" wrapText="1"/>
    </xf>
    <xf numFmtId="167" fontId="79" fillId="0" borderId="0" xfId="0" applyNumberFormat="1" applyFont="1" applyAlignment="1">
      <alignment vertical="top"/>
    </xf>
    <xf numFmtId="167" fontId="78" fillId="0" borderId="0" xfId="0" applyNumberFormat="1" applyFont="1" applyAlignment="1">
      <alignment vertical="top" wrapText="1"/>
    </xf>
    <xf numFmtId="167" fontId="7" fillId="0" borderId="21" xfId="0" applyNumberFormat="1" applyFont="1" applyBorder="1" applyAlignment="1">
      <alignment horizontal="center" vertical="center" wrapText="1"/>
    </xf>
    <xf numFmtId="3" fontId="7" fillId="0" borderId="21" xfId="0" applyNumberFormat="1" applyFont="1" applyBorder="1" applyAlignment="1">
      <alignment horizontal="center" vertical="center" wrapText="1"/>
    </xf>
    <xf numFmtId="0" fontId="7" fillId="0" borderId="21" xfId="0" applyFont="1" applyBorder="1" applyAlignment="1">
      <alignment horizontal="center" vertical="center" wrapText="1"/>
    </xf>
    <xf numFmtId="0" fontId="5" fillId="0" borderId="0" xfId="0" applyFont="1" applyAlignment="1">
      <alignment horizontal="center" vertical="center" wrapText="1"/>
    </xf>
    <xf numFmtId="1" fontId="79" fillId="0" borderId="21" xfId="0" applyNumberFormat="1" applyFont="1" applyBorder="1" applyAlignment="1">
      <alignment horizontal="center" vertical="center" wrapText="1"/>
    </xf>
    <xf numFmtId="2" fontId="7" fillId="0" borderId="21" xfId="0" applyNumberFormat="1" applyFont="1" applyBorder="1" applyAlignment="1">
      <alignment horizontal="center" vertical="center" wrapText="1"/>
    </xf>
    <xf numFmtId="3" fontId="7" fillId="0" borderId="21" xfId="0" applyNumberFormat="1" applyFont="1" applyBorder="1" applyAlignment="1" applyProtection="1">
      <alignment horizontal="center" vertical="center" wrapText="1"/>
      <protection locked="0"/>
    </xf>
    <xf numFmtId="167" fontId="93" fillId="0" borderId="0" xfId="0" applyNumberFormat="1" applyFont="1" applyAlignment="1">
      <alignment horizontal="right" vertical="top" wrapText="1"/>
    </xf>
    <xf numFmtId="167" fontId="4" fillId="0" borderId="0" xfId="0" applyNumberFormat="1" applyFont="1" applyAlignment="1">
      <alignment vertical="top"/>
    </xf>
    <xf numFmtId="0" fontId="95" fillId="0" borderId="0" xfId="0" applyFont="1" applyAlignment="1">
      <alignment horizontal="left" vertical="top" wrapText="1"/>
    </xf>
    <xf numFmtId="0" fontId="95" fillId="0" borderId="0" xfId="0" applyFont="1" applyAlignment="1">
      <alignment horizontal="left" vertical="top"/>
    </xf>
    <xf numFmtId="0" fontId="94" fillId="0" borderId="0" xfId="0" applyFont="1" applyAlignment="1">
      <alignment vertical="top"/>
    </xf>
    <xf numFmtId="167" fontId="94" fillId="0" borderId="0" xfId="0" applyNumberFormat="1" applyFont="1" applyAlignment="1">
      <alignment vertical="top"/>
    </xf>
    <xf numFmtId="2" fontId="95" fillId="0" borderId="0" xfId="0" applyNumberFormat="1" applyFont="1" applyAlignment="1">
      <alignment horizontal="right" vertical="top"/>
    </xf>
    <xf numFmtId="0" fontId="94" fillId="0" borderId="0" xfId="0" applyFont="1" applyAlignment="1">
      <alignment horizontal="left" vertical="top"/>
    </xf>
    <xf numFmtId="0" fontId="94" fillId="0" borderId="0" xfId="0" applyFont="1" applyAlignment="1">
      <alignment vertical="top" wrapText="1"/>
    </xf>
    <xf numFmtId="167" fontId="94" fillId="0" borderId="0" xfId="0" applyNumberFormat="1" applyFont="1" applyAlignment="1">
      <alignment vertical="top" wrapText="1"/>
    </xf>
    <xf numFmtId="3" fontId="94" fillId="0" borderId="0" xfId="0" applyNumberFormat="1" applyFont="1" applyAlignment="1">
      <alignment vertical="top" wrapText="1"/>
    </xf>
    <xf numFmtId="4" fontId="101" fillId="0" borderId="0" xfId="0" applyNumberFormat="1" applyFont="1" applyAlignment="1">
      <alignment wrapText="1"/>
    </xf>
    <xf numFmtId="0" fontId="94" fillId="0" borderId="0" xfId="0" applyFont="1" applyAlignment="1">
      <alignment horizontal="right" wrapText="1"/>
    </xf>
    <xf numFmtId="3" fontId="95" fillId="0" borderId="0" xfId="0" applyNumberFormat="1" applyFont="1" applyAlignment="1">
      <alignment wrapText="1"/>
    </xf>
    <xf numFmtId="2" fontId="15" fillId="0" borderId="0" xfId="0" applyNumberFormat="1" applyFont="1" applyAlignment="1">
      <alignment vertical="top" wrapText="1"/>
    </xf>
    <xf numFmtId="167" fontId="77" fillId="0" borderId="0" xfId="0" applyNumberFormat="1" applyFont="1" applyAlignment="1">
      <alignment vertical="top" wrapText="1"/>
    </xf>
    <xf numFmtId="0" fontId="29" fillId="0" borderId="0" xfId="0" applyFont="1"/>
    <xf numFmtId="0" fontId="105" fillId="0" borderId="0" xfId="0" applyFont="1" applyAlignment="1">
      <alignment horizontal="left" vertical="center"/>
    </xf>
    <xf numFmtId="0" fontId="29" fillId="0" borderId="33" xfId="0" applyFont="1" applyBorder="1"/>
    <xf numFmtId="0" fontId="106" fillId="0" borderId="0" xfId="0" applyFont="1" applyAlignment="1">
      <alignment horizontal="left" vertical="center"/>
    </xf>
    <xf numFmtId="0" fontId="29" fillId="0" borderId="0" xfId="0" applyFont="1" applyAlignment="1">
      <alignment vertical="center"/>
    </xf>
    <xf numFmtId="0" fontId="0" fillId="0" borderId="34" xfId="0" applyBorder="1" applyAlignment="1">
      <alignment vertical="center" wrapText="1"/>
    </xf>
    <xf numFmtId="0" fontId="0" fillId="0" borderId="0" xfId="0" applyAlignment="1">
      <alignment vertical="center" wrapText="1"/>
    </xf>
    <xf numFmtId="0" fontId="26" fillId="0" borderId="0" xfId="0" applyFont="1" applyAlignment="1">
      <alignment horizontal="left" vertical="center" wrapText="1"/>
    </xf>
    <xf numFmtId="0" fontId="29" fillId="0" borderId="0" xfId="0" applyFont="1" applyAlignment="1">
      <alignment vertical="center" wrapText="1"/>
    </xf>
    <xf numFmtId="0" fontId="105" fillId="0" borderId="0" xfId="0" applyFont="1" applyAlignment="1">
      <alignment horizontal="left" vertical="center" wrapText="1"/>
    </xf>
    <xf numFmtId="0" fontId="29" fillId="0" borderId="35" xfId="0" applyFont="1" applyBorder="1" applyAlignment="1">
      <alignment vertical="center"/>
    </xf>
    <xf numFmtId="0" fontId="27" fillId="0" borderId="0" xfId="0" applyFont="1" applyAlignment="1">
      <alignment horizontal="left" vertical="center"/>
    </xf>
    <xf numFmtId="4" fontId="86" fillId="0" borderId="0" xfId="0" applyNumberFormat="1" applyFont="1" applyAlignment="1">
      <alignment vertical="center"/>
    </xf>
    <xf numFmtId="0" fontId="84" fillId="0" borderId="0" xfId="0" applyFont="1" applyAlignment="1">
      <alignment horizontal="right" vertical="center"/>
    </xf>
    <xf numFmtId="0" fontId="104" fillId="0" borderId="0" xfId="0" applyFont="1" applyAlignment="1">
      <alignment horizontal="left" vertical="center"/>
    </xf>
    <xf numFmtId="4" fontId="84" fillId="0" borderId="0" xfId="0" applyNumberFormat="1" applyFont="1" applyAlignment="1">
      <alignment vertical="center"/>
    </xf>
    <xf numFmtId="171" fontId="84" fillId="0" borderId="0" xfId="0" applyNumberFormat="1" applyFont="1" applyAlignment="1">
      <alignment horizontal="right" vertical="center"/>
    </xf>
    <xf numFmtId="0" fontId="28" fillId="0" borderId="44" xfId="0" applyFont="1" applyBorder="1" applyAlignment="1">
      <alignment horizontal="left" vertical="center"/>
    </xf>
    <xf numFmtId="0" fontId="0" fillId="0" borderId="36" xfId="0" applyBorder="1" applyAlignment="1">
      <alignment vertical="center"/>
    </xf>
    <xf numFmtId="0" fontId="28" fillId="0" borderId="36" xfId="0" applyFont="1" applyBorder="1" applyAlignment="1">
      <alignment horizontal="right" vertical="center"/>
    </xf>
    <xf numFmtId="0" fontId="28" fillId="0" borderId="36" xfId="0" applyFont="1" applyBorder="1" applyAlignment="1">
      <alignment horizontal="center" vertical="center"/>
    </xf>
    <xf numFmtId="4" fontId="28" fillId="0" borderId="36" xfId="0" applyNumberFormat="1" applyFont="1" applyBorder="1" applyAlignment="1">
      <alignment vertical="center"/>
    </xf>
    <xf numFmtId="0" fontId="29" fillId="0" borderId="47" xfId="0" applyFont="1" applyBorder="1" applyAlignment="1">
      <alignment vertical="center"/>
    </xf>
    <xf numFmtId="0" fontId="29" fillId="0" borderId="38" xfId="0" applyFont="1" applyBorder="1" applyAlignment="1">
      <alignment vertical="center"/>
    </xf>
    <xf numFmtId="0" fontId="29" fillId="0" borderId="33" xfId="0" applyFont="1" applyBorder="1" applyAlignment="1">
      <alignment vertical="center"/>
    </xf>
    <xf numFmtId="0" fontId="29" fillId="0" borderId="0" xfId="0" applyFont="1" applyAlignment="1">
      <alignment horizontal="left" vertical="center"/>
    </xf>
    <xf numFmtId="0" fontId="29" fillId="0" borderId="0" xfId="0" applyFont="1" applyAlignment="1">
      <alignment horizontal="right" vertical="center"/>
    </xf>
    <xf numFmtId="0" fontId="107" fillId="0" borderId="0" xfId="0" applyFont="1" applyAlignment="1">
      <alignment horizontal="left" vertical="center"/>
    </xf>
    <xf numFmtId="0" fontId="108" fillId="0" borderId="34" xfId="0" applyFont="1" applyBorder="1" applyAlignment="1">
      <alignment vertical="center"/>
    </xf>
    <xf numFmtId="0" fontId="108" fillId="0" borderId="0" xfId="0" applyFont="1" applyAlignment="1">
      <alignment vertical="center"/>
    </xf>
    <xf numFmtId="0" fontId="108" fillId="0" borderId="50" xfId="0" applyFont="1" applyBorder="1" applyAlignment="1">
      <alignment horizontal="left" vertical="center"/>
    </xf>
    <xf numFmtId="0" fontId="108" fillId="0" borderId="50" xfId="0" applyFont="1" applyBorder="1" applyAlignment="1">
      <alignment vertical="center"/>
    </xf>
    <xf numFmtId="4" fontId="108" fillId="0" borderId="50" xfId="0" applyNumberFormat="1" applyFont="1" applyBorder="1" applyAlignment="1">
      <alignment vertical="center"/>
    </xf>
    <xf numFmtId="0" fontId="109" fillId="0" borderId="0" xfId="0" applyFont="1" applyAlignment="1">
      <alignment vertical="center"/>
    </xf>
    <xf numFmtId="0" fontId="110" fillId="0" borderId="34" xfId="0" applyFont="1" applyBorder="1" applyAlignment="1">
      <alignment vertical="center"/>
    </xf>
    <xf numFmtId="0" fontId="110" fillId="0" borderId="0" xfId="0" applyFont="1" applyAlignment="1">
      <alignment vertical="center"/>
    </xf>
    <xf numFmtId="0" fontId="110" fillId="0" borderId="50" xfId="0" applyFont="1" applyBorder="1" applyAlignment="1">
      <alignment horizontal="left" vertical="center"/>
    </xf>
    <xf numFmtId="0" fontId="110" fillId="0" borderId="50" xfId="0" applyFont="1" applyBorder="1" applyAlignment="1">
      <alignment vertical="center"/>
    </xf>
    <xf numFmtId="4" fontId="110" fillId="0" borderId="50" xfId="0" applyNumberFormat="1" applyFont="1" applyBorder="1" applyAlignment="1">
      <alignment vertical="center"/>
    </xf>
    <xf numFmtId="0" fontId="29" fillId="0" borderId="39" xfId="0" applyFont="1" applyBorder="1" applyAlignment="1">
      <alignment horizontal="center" vertical="center" wrapText="1"/>
    </xf>
    <xf numFmtId="0" fontId="29" fillId="0" borderId="40" xfId="0" applyFont="1" applyBorder="1" applyAlignment="1">
      <alignment horizontal="center" vertical="center" wrapText="1"/>
    </xf>
    <xf numFmtId="0" fontId="29" fillId="0" borderId="41" xfId="0" applyFont="1" applyBorder="1" applyAlignment="1">
      <alignment horizontal="center" vertical="center" wrapText="1"/>
    </xf>
    <xf numFmtId="4" fontId="86" fillId="0" borderId="0" xfId="0" applyNumberFormat="1" applyFont="1"/>
    <xf numFmtId="169" fontId="111" fillId="0" borderId="35" xfId="0" applyNumberFormat="1" applyFont="1" applyBorder="1"/>
    <xf numFmtId="169" fontId="111" fillId="0" borderId="45" xfId="0" applyNumberFormat="1" applyFont="1" applyBorder="1"/>
    <xf numFmtId="4" fontId="30" fillId="0" borderId="0" xfId="0" applyNumberFormat="1" applyFont="1" applyAlignment="1">
      <alignment vertical="center"/>
    </xf>
    <xf numFmtId="0" fontId="112" fillId="0" borderId="34" xfId="0" applyFont="1" applyBorder="1"/>
    <xf numFmtId="0" fontId="112" fillId="0" borderId="0" xfId="0" applyFont="1"/>
    <xf numFmtId="0" fontId="112" fillId="0" borderId="0" xfId="0" applyFont="1" applyAlignment="1">
      <alignment horizontal="left"/>
    </xf>
    <xf numFmtId="0" fontId="108" fillId="0" borderId="0" xfId="0" applyFont="1" applyAlignment="1">
      <alignment horizontal="left"/>
    </xf>
    <xf numFmtId="4" fontId="108" fillId="0" borderId="0" xfId="0" applyNumberFormat="1" applyFont="1"/>
    <xf numFmtId="0" fontId="109" fillId="0" borderId="0" xfId="0" applyFont="1"/>
    <xf numFmtId="0" fontId="112" fillId="0" borderId="48" xfId="0" applyFont="1" applyBorder="1"/>
    <xf numFmtId="169" fontId="112" fillId="0" borderId="0" xfId="0" applyNumberFormat="1" applyFont="1"/>
    <xf numFmtId="169" fontId="112" fillId="0" borderId="46" xfId="0" applyNumberFormat="1" applyFont="1" applyBorder="1"/>
    <xf numFmtId="0" fontId="112" fillId="0" borderId="0" xfId="0" applyFont="1" applyAlignment="1">
      <alignment horizontal="center"/>
    </xf>
    <xf numFmtId="4" fontId="112" fillId="0" borderId="0" xfId="0" applyNumberFormat="1" applyFont="1" applyAlignment="1">
      <alignment vertical="center"/>
    </xf>
    <xf numFmtId="0" fontId="110" fillId="0" borderId="0" xfId="0" applyFont="1" applyAlignment="1">
      <alignment horizontal="left"/>
    </xf>
    <xf numFmtId="4" fontId="110" fillId="0" borderId="0" xfId="0" applyNumberFormat="1" applyFont="1"/>
    <xf numFmtId="0" fontId="0" fillId="0" borderId="34" xfId="0" applyBorder="1" applyAlignment="1" applyProtection="1">
      <alignment vertical="center"/>
      <protection locked="0"/>
    </xf>
    <xf numFmtId="0" fontId="29" fillId="0" borderId="43" xfId="0" applyFont="1" applyBorder="1" applyAlignment="1" applyProtection="1">
      <alignment horizontal="center" vertical="center"/>
      <protection locked="0"/>
    </xf>
    <xf numFmtId="49" fontId="29" fillId="0" borderId="43" xfId="0" applyNumberFormat="1" applyFont="1" applyBorder="1" applyAlignment="1" applyProtection="1">
      <alignment horizontal="left" vertical="center" wrapText="1"/>
      <protection locked="0"/>
    </xf>
    <xf numFmtId="0" fontId="29" fillId="0" borderId="43" xfId="0" applyFont="1" applyBorder="1" applyAlignment="1" applyProtection="1">
      <alignment horizontal="left" vertical="center" wrapText="1"/>
      <protection locked="0"/>
    </xf>
    <xf numFmtId="0" fontId="29" fillId="0" borderId="43" xfId="0" applyFont="1" applyBorder="1" applyAlignment="1" applyProtection="1">
      <alignment horizontal="center" vertical="center" wrapText="1"/>
      <protection locked="0"/>
    </xf>
    <xf numFmtId="168" fontId="29" fillId="0" borderId="43" xfId="0" applyNumberFormat="1" applyFont="1" applyBorder="1" applyAlignment="1" applyProtection="1">
      <alignment vertical="center"/>
      <protection locked="0"/>
    </xf>
    <xf numFmtId="4" fontId="29" fillId="0" borderId="43" xfId="0" applyNumberFormat="1" applyFont="1" applyBorder="1" applyAlignment="1" applyProtection="1">
      <alignment vertical="center"/>
      <protection locked="0"/>
    </xf>
    <xf numFmtId="0" fontId="85" fillId="0" borderId="48" xfId="0" applyFont="1" applyBorder="1" applyAlignment="1">
      <alignment horizontal="left" vertical="center"/>
    </xf>
    <xf numFmtId="0" fontId="85" fillId="0" borderId="0" xfId="0" applyFont="1" applyAlignment="1">
      <alignment horizontal="center" vertical="center"/>
    </xf>
    <xf numFmtId="169" fontId="85" fillId="0" borderId="0" xfId="0" applyNumberFormat="1" applyFont="1" applyAlignment="1">
      <alignment vertical="center"/>
    </xf>
    <xf numFmtId="169" fontId="85" fillId="0" borderId="46" xfId="0" applyNumberFormat="1" applyFont="1" applyBorder="1" applyAlignment="1">
      <alignment vertical="center"/>
    </xf>
    <xf numFmtId="4" fontId="0" fillId="0" borderId="0" xfId="0" applyNumberFormat="1" applyAlignment="1">
      <alignment vertical="center"/>
    </xf>
    <xf numFmtId="0" fontId="113" fillId="0" borderId="34" xfId="0" applyFont="1" applyBorder="1" applyAlignment="1">
      <alignment vertical="center"/>
    </xf>
    <xf numFmtId="0" fontId="113" fillId="0" borderId="0" xfId="0" applyFont="1" applyAlignment="1">
      <alignment vertical="center"/>
    </xf>
    <xf numFmtId="0" fontId="114" fillId="0" borderId="0" xfId="0" applyFont="1" applyAlignment="1">
      <alignment horizontal="left" vertical="center"/>
    </xf>
    <xf numFmtId="0" fontId="113" fillId="0" borderId="0" xfId="0" applyFont="1" applyAlignment="1">
      <alignment horizontal="left" vertical="center"/>
    </xf>
    <xf numFmtId="0" fontId="113" fillId="0" borderId="0" xfId="0" applyFont="1" applyAlignment="1">
      <alignment horizontal="left" vertical="center" wrapText="1"/>
    </xf>
    <xf numFmtId="0" fontId="115" fillId="0" borderId="0" xfId="0" applyFont="1" applyAlignment="1">
      <alignment vertical="center"/>
    </xf>
    <xf numFmtId="0" fontId="113" fillId="0" borderId="48" xfId="0" applyFont="1" applyBorder="1" applyAlignment="1">
      <alignment vertical="center"/>
    </xf>
    <xf numFmtId="0" fontId="113" fillId="0" borderId="46" xfId="0" applyFont="1" applyBorder="1" applyAlignment="1">
      <alignment vertical="center"/>
    </xf>
    <xf numFmtId="0" fontId="116" fillId="0" borderId="34" xfId="0" applyFont="1" applyBorder="1" applyAlignment="1">
      <alignment vertical="center"/>
    </xf>
    <xf numFmtId="0" fontId="116" fillId="0" borderId="0" xfId="0" applyFont="1" applyAlignment="1">
      <alignment vertical="center"/>
    </xf>
    <xf numFmtId="0" fontId="116" fillId="0" borderId="0" xfId="0" applyFont="1" applyAlignment="1">
      <alignment horizontal="left" vertical="center"/>
    </xf>
    <xf numFmtId="0" fontId="116" fillId="0" borderId="0" xfId="0" applyFont="1" applyAlignment="1">
      <alignment horizontal="left" vertical="center" wrapText="1"/>
    </xf>
    <xf numFmtId="168" fontId="116" fillId="0" borderId="0" xfId="0" applyNumberFormat="1" applyFont="1" applyAlignment="1">
      <alignment vertical="center"/>
    </xf>
    <xf numFmtId="0" fontId="117" fillId="0" borderId="0" xfId="0" applyFont="1" applyAlignment="1">
      <alignment vertical="center"/>
    </xf>
    <xf numFmtId="0" fontId="116" fillId="0" borderId="48" xfId="0" applyFont="1" applyBorder="1" applyAlignment="1">
      <alignment vertical="center"/>
    </xf>
    <xf numFmtId="0" fontId="116" fillId="0" borderId="46" xfId="0" applyFont="1" applyBorder="1" applyAlignment="1">
      <alignment vertical="center"/>
    </xf>
    <xf numFmtId="0" fontId="118" fillId="0" borderId="34" xfId="0" applyFont="1" applyBorder="1" applyAlignment="1">
      <alignment vertical="center"/>
    </xf>
    <xf numFmtId="0" fontId="118" fillId="0" borderId="0" xfId="0" applyFont="1" applyAlignment="1">
      <alignment vertical="center"/>
    </xf>
    <xf numFmtId="0" fontId="118" fillId="0" borderId="0" xfId="0" applyFont="1" applyAlignment="1">
      <alignment horizontal="left" vertical="center"/>
    </xf>
    <xf numFmtId="0" fontId="118" fillId="0" borderId="0" xfId="0" applyFont="1" applyAlignment="1">
      <alignment horizontal="left" vertical="center" wrapText="1"/>
    </xf>
    <xf numFmtId="168" fontId="118" fillId="0" borderId="0" xfId="0" applyNumberFormat="1" applyFont="1" applyAlignment="1">
      <alignment vertical="center"/>
    </xf>
    <xf numFmtId="0" fontId="119" fillId="0" borderId="0" xfId="0" applyFont="1" applyAlignment="1">
      <alignment vertical="center"/>
    </xf>
    <xf numFmtId="0" fontId="118" fillId="0" borderId="48" xfId="0" applyFont="1" applyBorder="1" applyAlignment="1">
      <alignment vertical="center"/>
    </xf>
    <xf numFmtId="0" fontId="118" fillId="0" borderId="46" xfId="0" applyFont="1" applyBorder="1" applyAlignment="1">
      <alignment vertical="center"/>
    </xf>
    <xf numFmtId="0" fontId="120" fillId="0" borderId="43" xfId="0" applyFont="1" applyBorder="1" applyAlignment="1" applyProtection="1">
      <alignment horizontal="center" vertical="center"/>
      <protection locked="0"/>
    </xf>
    <xf numFmtId="49" fontId="120" fillId="0" borderId="43" xfId="0" applyNumberFormat="1" applyFont="1" applyBorder="1" applyAlignment="1" applyProtection="1">
      <alignment horizontal="left" vertical="center" wrapText="1"/>
      <protection locked="0"/>
    </xf>
    <xf numFmtId="0" fontId="120" fillId="0" borderId="43" xfId="0" applyFont="1" applyBorder="1" applyAlignment="1" applyProtection="1">
      <alignment horizontal="left" vertical="center" wrapText="1"/>
      <protection locked="0"/>
    </xf>
    <xf numFmtId="0" fontId="120" fillId="0" borderId="43" xfId="0" applyFont="1" applyBorder="1" applyAlignment="1" applyProtection="1">
      <alignment horizontal="center" vertical="center" wrapText="1"/>
      <protection locked="0"/>
    </xf>
    <xf numFmtId="168" fontId="120" fillId="0" borderId="43" xfId="0" applyNumberFormat="1" applyFont="1" applyBorder="1" applyAlignment="1" applyProtection="1">
      <alignment vertical="center"/>
      <protection locked="0"/>
    </xf>
    <xf numFmtId="4" fontId="120" fillId="0" borderId="43" xfId="0" applyNumberFormat="1" applyFont="1" applyBorder="1" applyAlignment="1" applyProtection="1">
      <alignment vertical="center"/>
      <protection locked="0"/>
    </xf>
    <xf numFmtId="0" fontId="121" fillId="0" borderId="34" xfId="0" applyFont="1" applyBorder="1" applyAlignment="1">
      <alignment vertical="center"/>
    </xf>
    <xf numFmtId="0" fontId="120" fillId="0" borderId="48" xfId="0" applyFont="1" applyBorder="1" applyAlignment="1">
      <alignment horizontal="left" vertical="center"/>
    </xf>
    <xf numFmtId="0" fontId="120" fillId="0" borderId="0" xfId="0" applyFont="1" applyAlignment="1">
      <alignment horizontal="center" vertical="center"/>
    </xf>
    <xf numFmtId="0" fontId="122" fillId="0" borderId="34" xfId="0" applyFont="1" applyBorder="1" applyAlignment="1">
      <alignment vertical="center"/>
    </xf>
    <xf numFmtId="0" fontId="122" fillId="0" borderId="0" xfId="0" applyFont="1" applyAlignment="1">
      <alignment vertical="center"/>
    </xf>
    <xf numFmtId="0" fontId="122" fillId="0" borderId="0" xfId="0" applyFont="1" applyAlignment="1">
      <alignment horizontal="left" vertical="center"/>
    </xf>
    <xf numFmtId="0" fontId="122" fillId="0" borderId="0" xfId="0" applyFont="1" applyAlignment="1">
      <alignment horizontal="left" vertical="center" wrapText="1"/>
    </xf>
    <xf numFmtId="168" fontId="122" fillId="0" borderId="0" xfId="0" applyNumberFormat="1" applyFont="1" applyAlignment="1">
      <alignment vertical="center"/>
    </xf>
    <xf numFmtId="0" fontId="123" fillId="0" borderId="0" xfId="0" applyFont="1" applyAlignment="1">
      <alignment vertical="center"/>
    </xf>
    <xf numFmtId="0" fontId="122" fillId="0" borderId="48" xfId="0" applyFont="1" applyBorder="1" applyAlignment="1">
      <alignment vertical="center"/>
    </xf>
    <xf numFmtId="0" fontId="122" fillId="0" borderId="46" xfId="0" applyFont="1" applyBorder="1" applyAlignment="1">
      <alignment vertical="center"/>
    </xf>
    <xf numFmtId="0" fontId="85" fillId="0" borderId="49" xfId="0" applyFont="1" applyBorder="1" applyAlignment="1">
      <alignment horizontal="left" vertical="center"/>
    </xf>
    <xf numFmtId="0" fontId="85" fillId="0" borderId="50" xfId="0" applyFont="1" applyBorder="1" applyAlignment="1">
      <alignment horizontal="center" vertical="center"/>
    </xf>
    <xf numFmtId="169" fontId="85" fillId="0" borderId="50" xfId="0" applyNumberFormat="1" applyFont="1" applyBorder="1" applyAlignment="1">
      <alignment vertical="center"/>
    </xf>
    <xf numFmtId="169" fontId="85" fillId="0" borderId="51" xfId="0" applyNumberFormat="1" applyFont="1" applyBorder="1" applyAlignment="1">
      <alignment vertical="center"/>
    </xf>
    <xf numFmtId="167" fontId="4" fillId="0" borderId="0" xfId="0" applyNumberFormat="1" applyFont="1" applyAlignment="1">
      <alignment horizontal="right" vertical="top" wrapText="1"/>
    </xf>
    <xf numFmtId="167" fontId="79" fillId="0" borderId="0" xfId="0" applyNumberFormat="1" applyFont="1" applyAlignment="1">
      <alignment horizontal="right" vertical="top" wrapText="1"/>
    </xf>
    <xf numFmtId="1" fontId="7" fillId="0" borderId="54" xfId="0" applyNumberFormat="1" applyFont="1" applyBorder="1" applyAlignment="1">
      <alignment horizontal="center" vertical="top"/>
    </xf>
    <xf numFmtId="0" fontId="5" fillId="0" borderId="52" xfId="0" applyFont="1" applyBorder="1" applyAlignment="1">
      <alignment horizontal="center" vertical="top" wrapText="1"/>
    </xf>
    <xf numFmtId="3" fontId="7" fillId="0" borderId="52" xfId="0" applyNumberFormat="1" applyFont="1" applyBorder="1" applyAlignment="1">
      <alignment horizontal="center" vertical="top" wrapText="1"/>
    </xf>
    <xf numFmtId="167" fontId="77" fillId="0" borderId="0" xfId="1" applyNumberFormat="1" applyFont="1" applyAlignment="1">
      <alignment horizontal="right" vertical="top"/>
    </xf>
    <xf numFmtId="3" fontId="13" fillId="0" borderId="0" xfId="0" applyNumberFormat="1" applyFont="1" applyAlignment="1">
      <alignment horizontal="center" vertical="top" wrapText="1"/>
    </xf>
    <xf numFmtId="1" fontId="7" fillId="0" borderId="54" xfId="0" applyNumberFormat="1" applyFont="1" applyBorder="1" applyAlignment="1">
      <alignment horizontal="center" vertical="center"/>
    </xf>
    <xf numFmtId="1" fontId="79" fillId="0" borderId="55" xfId="0" applyNumberFormat="1" applyFont="1" applyBorder="1" applyAlignment="1">
      <alignment horizontal="center" vertical="center" wrapText="1"/>
    </xf>
    <xf numFmtId="0" fontId="5" fillId="0" borderId="52" xfId="0" applyFont="1" applyBorder="1" applyAlignment="1">
      <alignment horizontal="center" vertical="center" wrapText="1"/>
    </xf>
    <xf numFmtId="2" fontId="7" fillId="0" borderId="52" xfId="0" applyNumberFormat="1" applyFont="1" applyBorder="1" applyAlignment="1">
      <alignment vertical="top" wrapText="1"/>
    </xf>
    <xf numFmtId="4" fontId="7" fillId="0" borderId="21" xfId="0" applyNumberFormat="1" applyFont="1" applyBorder="1" applyAlignment="1">
      <alignment horizontal="center" vertical="top" wrapText="1"/>
    </xf>
    <xf numFmtId="0" fontId="9" fillId="0" borderId="0" xfId="0" applyFont="1" applyAlignment="1">
      <alignment vertical="top" wrapText="1"/>
    </xf>
    <xf numFmtId="0" fontId="9" fillId="0" borderId="0" xfId="0" applyFont="1" applyAlignment="1">
      <alignment vertical="top"/>
    </xf>
    <xf numFmtId="9" fontId="9" fillId="0" borderId="0" xfId="0" applyNumberFormat="1" applyFont="1" applyAlignment="1">
      <alignment vertical="top"/>
    </xf>
    <xf numFmtId="3" fontId="9" fillId="0" borderId="0" xfId="0" applyNumberFormat="1" applyFont="1" applyAlignment="1">
      <alignment vertical="top"/>
    </xf>
    <xf numFmtId="3" fontId="9" fillId="0" borderId="0" xfId="0" applyNumberFormat="1" applyFont="1" applyAlignment="1">
      <alignment vertical="top" wrapText="1"/>
    </xf>
    <xf numFmtId="10" fontId="9" fillId="0" borderId="0" xfId="0" applyNumberFormat="1" applyFont="1" applyAlignment="1">
      <alignment vertical="top"/>
    </xf>
    <xf numFmtId="167" fontId="77" fillId="0" borderId="31" xfId="0" applyNumberFormat="1" applyFont="1" applyBorder="1" applyAlignment="1">
      <alignment horizontal="right" vertical="top"/>
    </xf>
    <xf numFmtId="0" fontId="5" fillId="0" borderId="0" xfId="2" applyFont="1" applyAlignment="1">
      <alignment horizontal="left" vertical="top" wrapText="1"/>
    </xf>
    <xf numFmtId="0" fontId="77" fillId="0" borderId="31" xfId="3" applyNumberFormat="1" applyFont="1" applyFill="1" applyBorder="1" applyAlignment="1" applyProtection="1">
      <alignment horizontal="right" vertical="top"/>
    </xf>
    <xf numFmtId="2" fontId="5" fillId="0" borderId="0" xfId="0" applyNumberFormat="1" applyFont="1" applyAlignment="1">
      <alignment horizontal="center" vertical="top"/>
    </xf>
    <xf numFmtId="0" fontId="77" fillId="0" borderId="0" xfId="3" applyNumberFormat="1" applyFont="1" applyFill="1" applyBorder="1" applyAlignment="1" applyProtection="1">
      <alignment horizontal="right" vertical="top"/>
    </xf>
    <xf numFmtId="0" fontId="4" fillId="0" borderId="0" xfId="0" applyFont="1" applyAlignment="1">
      <alignment horizontal="center" vertical="top" wrapText="1"/>
    </xf>
    <xf numFmtId="4" fontId="4" fillId="0" borderId="0" xfId="0" applyNumberFormat="1" applyFont="1" applyAlignment="1">
      <alignment vertical="top" wrapText="1"/>
    </xf>
    <xf numFmtId="0" fontId="6" fillId="0" borderId="0" xfId="0" applyFont="1" applyAlignment="1">
      <alignment horizontal="left" vertical="top"/>
    </xf>
    <xf numFmtId="4" fontId="22" fillId="0" borderId="0" xfId="0" applyNumberFormat="1" applyFont="1" applyAlignment="1">
      <alignment vertical="top"/>
    </xf>
    <xf numFmtId="0" fontId="8" fillId="0" borderId="0" xfId="0" applyFont="1" applyAlignment="1">
      <alignment vertical="top" wrapText="1"/>
    </xf>
    <xf numFmtId="0" fontId="3" fillId="0" borderId="0" xfId="0" applyFont="1" applyAlignment="1">
      <alignment horizontal="center" vertical="top"/>
    </xf>
    <xf numFmtId="3" fontId="3" fillId="0" borderId="0" xfId="0" applyNumberFormat="1" applyFont="1" applyAlignment="1">
      <alignment vertical="top"/>
    </xf>
    <xf numFmtId="167" fontId="3" fillId="0" borderId="0" xfId="0" applyNumberFormat="1" applyFont="1" applyAlignment="1">
      <alignment vertical="top"/>
    </xf>
    <xf numFmtId="164" fontId="6" fillId="0" borderId="0" xfId="0" applyNumberFormat="1" applyFont="1" applyAlignment="1">
      <alignment vertical="top"/>
    </xf>
    <xf numFmtId="0" fontId="3" fillId="0" borderId="0" xfId="0" applyFont="1" applyAlignment="1">
      <alignment vertical="top"/>
    </xf>
    <xf numFmtId="9" fontId="3" fillId="0" borderId="0" xfId="0" applyNumberFormat="1" applyFont="1" applyAlignment="1">
      <alignment vertical="top"/>
    </xf>
    <xf numFmtId="3" fontId="3" fillId="0" borderId="0" xfId="0" applyNumberFormat="1" applyFont="1" applyAlignment="1">
      <alignment horizontal="right" vertical="top"/>
    </xf>
    <xf numFmtId="49" fontId="5" fillId="0" borderId="0" xfId="0" applyNumberFormat="1" applyFont="1" applyAlignment="1">
      <alignment horizontal="center" wrapText="1"/>
    </xf>
    <xf numFmtId="167" fontId="5" fillId="0" borderId="0" xfId="0" applyNumberFormat="1" applyFont="1" applyAlignment="1">
      <alignment horizontal="left" wrapText="1"/>
    </xf>
    <xf numFmtId="3" fontId="5" fillId="0" borderId="0" xfId="0" applyNumberFormat="1" applyFont="1" applyAlignment="1">
      <alignment horizontal="left" wrapText="1"/>
    </xf>
    <xf numFmtId="3" fontId="13" fillId="0" borderId="0" xfId="0" applyNumberFormat="1" applyFont="1" applyAlignment="1">
      <alignment horizontal="center" wrapText="1"/>
    </xf>
    <xf numFmtId="3" fontId="13" fillId="0" borderId="0" xfId="0" applyNumberFormat="1" applyFont="1" applyAlignment="1">
      <alignment horizontal="right" wrapText="1"/>
    </xf>
    <xf numFmtId="1" fontId="7" fillId="0" borderId="54" xfId="0" applyNumberFormat="1" applyFont="1" applyBorder="1" applyAlignment="1">
      <alignment horizontal="center"/>
    </xf>
    <xf numFmtId="167" fontId="7" fillId="0" borderId="52" xfId="0" applyNumberFormat="1" applyFont="1" applyBorder="1" applyAlignment="1">
      <alignment horizontal="center" wrapText="1"/>
    </xf>
    <xf numFmtId="1" fontId="7" fillId="0" borderId="0" xfId="0" applyNumberFormat="1" applyFont="1" applyAlignment="1">
      <alignment vertical="top" wrapText="1"/>
    </xf>
    <xf numFmtId="0" fontId="8" fillId="0" borderId="0" xfId="0" applyFont="1" applyAlignment="1">
      <alignment horizontal="left" wrapText="1"/>
    </xf>
    <xf numFmtId="167" fontId="77" fillId="0" borderId="31" xfId="0" applyNumberFormat="1" applyFont="1" applyBorder="1"/>
    <xf numFmtId="167" fontId="77" fillId="0" borderId="0" xfId="0" applyNumberFormat="1" applyFont="1"/>
    <xf numFmtId="4" fontId="4" fillId="0" borderId="0" xfId="0" applyNumberFormat="1" applyFont="1" applyAlignment="1">
      <alignment wrapText="1"/>
    </xf>
    <xf numFmtId="167" fontId="4" fillId="0" borderId="0" xfId="0" applyNumberFormat="1" applyFont="1" applyAlignment="1">
      <alignment wrapText="1"/>
    </xf>
    <xf numFmtId="0" fontId="7" fillId="0" borderId="0" xfId="0" applyFont="1" applyAlignment="1">
      <alignment vertical="top" wrapText="1"/>
    </xf>
    <xf numFmtId="49" fontId="7" fillId="0" borderId="43" xfId="0" applyNumberFormat="1" applyFont="1" applyBorder="1" applyAlignment="1" applyProtection="1">
      <alignment horizontal="left" vertical="top" wrapText="1"/>
      <protection locked="0"/>
    </xf>
    <xf numFmtId="0" fontId="13" fillId="0" borderId="43" xfId="0" applyFont="1" applyBorder="1" applyAlignment="1" applyProtection="1">
      <alignment horizontal="left" wrapText="1"/>
      <protection locked="0"/>
    </xf>
    <xf numFmtId="0" fontId="0" fillId="0" borderId="43" xfId="0" applyBorder="1" applyAlignment="1" applyProtection="1">
      <alignment horizontal="center" wrapText="1"/>
      <protection locked="0"/>
    </xf>
    <xf numFmtId="168" fontId="0" fillId="0" borderId="43" xfId="0" applyNumberFormat="1" applyBorder="1" applyProtection="1">
      <protection locked="0"/>
    </xf>
    <xf numFmtId="167" fontId="0" fillId="0" borderId="43" xfId="0" applyNumberFormat="1" applyBorder="1" applyProtection="1">
      <protection locked="0"/>
    </xf>
    <xf numFmtId="4" fontId="8" fillId="0" borderId="0" xfId="0" applyNumberFormat="1" applyFont="1" applyAlignment="1">
      <alignment wrapText="1"/>
    </xf>
    <xf numFmtId="164" fontId="8" fillId="0" borderId="0" xfId="0" applyNumberFormat="1" applyFont="1" applyAlignment="1">
      <alignment horizontal="right"/>
    </xf>
    <xf numFmtId="167" fontId="79" fillId="0" borderId="0" xfId="0" applyNumberFormat="1" applyFont="1" applyAlignment="1">
      <alignment wrapText="1"/>
    </xf>
    <xf numFmtId="1" fontId="7" fillId="0" borderId="0" xfId="0" applyNumberFormat="1" applyFont="1" applyAlignment="1">
      <alignment wrapText="1"/>
    </xf>
    <xf numFmtId="49" fontId="94" fillId="0" borderId="0" xfId="0" applyNumberFormat="1" applyFont="1" applyAlignment="1">
      <alignment horizontal="center" vertical="center" wrapText="1"/>
    </xf>
    <xf numFmtId="0" fontId="96" fillId="0" borderId="0" xfId="0" applyFont="1" applyAlignment="1">
      <alignment horizontal="center" vertical="center" wrapText="1"/>
    </xf>
    <xf numFmtId="0" fontId="97" fillId="0" borderId="0" xfId="0" applyFont="1" applyAlignment="1">
      <alignment horizontal="left" vertical="top" wrapText="1"/>
    </xf>
    <xf numFmtId="167" fontId="97" fillId="0" borderId="0" xfId="0" applyNumberFormat="1" applyFont="1" applyAlignment="1">
      <alignment horizontal="left" vertical="top" wrapText="1"/>
    </xf>
    <xf numFmtId="3" fontId="97" fillId="0" borderId="0" xfId="0" applyNumberFormat="1" applyFont="1" applyAlignment="1">
      <alignment horizontal="left" vertical="top" wrapText="1"/>
    </xf>
    <xf numFmtId="0" fontId="97" fillId="0" borderId="0" xfId="0" applyFont="1" applyAlignment="1">
      <alignment horizontal="center" vertical="center" wrapText="1"/>
    </xf>
    <xf numFmtId="0" fontId="94" fillId="0" borderId="0" xfId="0" applyFont="1" applyAlignment="1">
      <alignment horizontal="center" vertical="center" wrapText="1"/>
    </xf>
    <xf numFmtId="3" fontId="97" fillId="0" borderId="0" xfId="0" applyNumberFormat="1" applyFont="1" applyAlignment="1">
      <alignment horizontal="right" vertical="top" wrapText="1"/>
    </xf>
    <xf numFmtId="4" fontId="97" fillId="0" borderId="0" xfId="0" applyNumberFormat="1" applyFont="1" applyAlignment="1">
      <alignment horizontal="left" vertical="top" wrapText="1"/>
    </xf>
    <xf numFmtId="0" fontId="94" fillId="0" borderId="0" xfId="0" applyFont="1" applyAlignment="1">
      <alignment horizontal="center" vertical="top" wrapText="1"/>
    </xf>
    <xf numFmtId="167" fontId="94" fillId="0" borderId="0" xfId="0" applyNumberFormat="1" applyFont="1" applyAlignment="1">
      <alignment horizontal="left" vertical="top" wrapText="1"/>
    </xf>
    <xf numFmtId="3" fontId="94" fillId="0" borderId="0" xfId="0" applyNumberFormat="1" applyFont="1" applyAlignment="1">
      <alignment horizontal="left" vertical="top" wrapText="1"/>
    </xf>
    <xf numFmtId="49" fontId="94" fillId="0" borderId="56" xfId="0" applyNumberFormat="1" applyFont="1" applyBorder="1" applyAlignment="1">
      <alignment horizontal="center" vertical="center" wrapText="1"/>
    </xf>
    <xf numFmtId="0" fontId="95" fillId="0" borderId="56" xfId="0" applyFont="1" applyBorder="1" applyAlignment="1">
      <alignment horizontal="left" vertical="center" wrapText="1"/>
    </xf>
    <xf numFmtId="0" fontId="94" fillId="0" borderId="56" xfId="0" applyFont="1" applyBorder="1" applyAlignment="1">
      <alignment horizontal="left" vertical="center" wrapText="1"/>
    </xf>
    <xf numFmtId="0" fontId="94" fillId="0" borderId="56" xfId="0" applyFont="1" applyBorder="1" applyAlignment="1">
      <alignment horizontal="center" vertical="center" wrapText="1"/>
    </xf>
    <xf numFmtId="167" fontId="94" fillId="0" borderId="56" xfId="0" applyNumberFormat="1" applyFont="1" applyBorder="1" applyAlignment="1">
      <alignment horizontal="center" vertical="center" wrapText="1"/>
    </xf>
    <xf numFmtId="3" fontId="94" fillId="0" borderId="57" xfId="0" applyNumberFormat="1" applyFont="1" applyBorder="1" applyAlignment="1">
      <alignment horizontal="center" vertical="center" wrapText="1"/>
    </xf>
    <xf numFmtId="0" fontId="94" fillId="0" borderId="0" xfId="0" applyFont="1" applyAlignment="1">
      <alignment horizontal="right" vertical="top" wrapText="1"/>
    </xf>
    <xf numFmtId="167" fontId="94" fillId="0" borderId="0" xfId="0" applyNumberFormat="1" applyFont="1" applyAlignment="1">
      <alignment horizontal="right" vertical="top" wrapText="1"/>
    </xf>
    <xf numFmtId="3" fontId="94" fillId="0" borderId="0" xfId="0" applyNumberFormat="1" applyFont="1" applyAlignment="1">
      <alignment horizontal="right" vertical="top" wrapText="1"/>
    </xf>
    <xf numFmtId="0" fontId="94" fillId="0" borderId="0" xfId="0" applyFont="1" applyAlignment="1">
      <alignment horizontal="right" vertical="top"/>
    </xf>
    <xf numFmtId="0" fontId="124" fillId="0" borderId="0" xfId="0" applyFont="1" applyAlignment="1">
      <alignment horizontal="left" vertical="top" wrapText="1"/>
    </xf>
    <xf numFmtId="167" fontId="124" fillId="0" borderId="0" xfId="0" applyNumberFormat="1" applyFont="1" applyAlignment="1">
      <alignment horizontal="right" vertical="top" wrapText="1"/>
    </xf>
    <xf numFmtId="2" fontId="94" fillId="0" borderId="0" xfId="0" applyNumberFormat="1" applyFont="1" applyAlignment="1">
      <alignment vertical="top" wrapText="1"/>
    </xf>
    <xf numFmtId="0" fontId="94" fillId="0" borderId="0" xfId="2" applyFont="1" applyAlignment="1">
      <alignment horizontal="left" vertical="top" wrapText="1"/>
    </xf>
    <xf numFmtId="167" fontId="94" fillId="0" borderId="0" xfId="0" applyNumberFormat="1" applyFont="1" applyAlignment="1">
      <alignment horizontal="right" vertical="top"/>
    </xf>
    <xf numFmtId="0" fontId="125" fillId="0" borderId="0" xfId="0" applyFont="1" applyAlignment="1">
      <alignment horizontal="left" vertical="top" wrapText="1"/>
    </xf>
    <xf numFmtId="0" fontId="94" fillId="0" borderId="0" xfId="3" applyNumberFormat="1" applyFont="1" applyFill="1" applyBorder="1" applyAlignment="1" applyProtection="1">
      <alignment horizontal="right" vertical="top"/>
    </xf>
    <xf numFmtId="3" fontId="94" fillId="0" borderId="0" xfId="0" applyNumberFormat="1" applyFont="1" applyAlignment="1">
      <alignment horizontal="right" vertical="top"/>
    </xf>
    <xf numFmtId="0" fontId="126" fillId="0" borderId="0" xfId="0" applyFont="1" applyAlignment="1">
      <alignment horizontal="left" vertical="top"/>
    </xf>
    <xf numFmtId="0" fontId="94" fillId="0" borderId="43" xfId="0" applyFont="1" applyBorder="1" applyAlignment="1" applyProtection="1">
      <alignment horizontal="right" vertical="top" wrapText="1"/>
      <protection locked="0"/>
    </xf>
    <xf numFmtId="167" fontId="94" fillId="0" borderId="43" xfId="0" applyNumberFormat="1" applyFont="1" applyBorder="1" applyAlignment="1" applyProtection="1">
      <alignment horizontal="right" vertical="top"/>
      <protection locked="0"/>
    </xf>
    <xf numFmtId="0" fontId="94" fillId="0" borderId="43" xfId="0" applyFont="1" applyBorder="1" applyAlignment="1" applyProtection="1">
      <alignment horizontal="left" vertical="top" wrapText="1"/>
      <protection locked="0"/>
    </xf>
    <xf numFmtId="3" fontId="94" fillId="0" borderId="43" xfId="0" applyNumberFormat="1" applyFont="1" applyBorder="1" applyAlignment="1" applyProtection="1">
      <alignment horizontal="right" vertical="top"/>
      <protection locked="0"/>
    </xf>
    <xf numFmtId="0" fontId="127" fillId="0" borderId="43" xfId="0" applyFont="1" applyBorder="1" applyAlignment="1" applyProtection="1">
      <alignment horizontal="right" vertical="top" wrapText="1"/>
      <protection locked="0"/>
    </xf>
    <xf numFmtId="0" fontId="94" fillId="0" borderId="0" xfId="0" applyFont="1" applyAlignment="1" applyProtection="1">
      <alignment horizontal="left" vertical="top" wrapText="1"/>
      <protection locked="0"/>
    </xf>
    <xf numFmtId="0" fontId="94" fillId="0" borderId="0" xfId="0" applyFont="1" applyAlignment="1" applyProtection="1">
      <alignment horizontal="right" vertical="top" wrapText="1"/>
      <protection locked="0"/>
    </xf>
    <xf numFmtId="167" fontId="94" fillId="0" borderId="0" xfId="0" applyNumberFormat="1" applyFont="1" applyAlignment="1" applyProtection="1">
      <alignment horizontal="right" vertical="top"/>
      <protection locked="0"/>
    </xf>
    <xf numFmtId="0" fontId="127" fillId="0" borderId="0" xfId="0" applyFont="1" applyAlignment="1" applyProtection="1">
      <alignment horizontal="right" vertical="top" wrapText="1"/>
      <protection locked="0"/>
    </xf>
    <xf numFmtId="0" fontId="98" fillId="0" borderId="0" xfId="0" applyFont="1" applyAlignment="1">
      <alignment horizontal="right" vertical="top" wrapText="1"/>
    </xf>
    <xf numFmtId="167" fontId="98" fillId="0" borderId="0" xfId="0" applyNumberFormat="1" applyFont="1" applyAlignment="1">
      <alignment horizontal="right" vertical="top" wrapText="1"/>
    </xf>
    <xf numFmtId="2" fontId="94" fillId="0" borderId="0" xfId="0" applyNumberFormat="1" applyFont="1" applyAlignment="1">
      <alignment horizontal="left" vertical="top" wrapText="1"/>
    </xf>
    <xf numFmtId="16" fontId="94" fillId="0" borderId="0" xfId="0" applyNumberFormat="1" applyFont="1" applyAlignment="1">
      <alignment horizontal="left" vertical="top" wrapText="1"/>
    </xf>
    <xf numFmtId="3" fontId="94" fillId="0" borderId="0" xfId="0" applyNumberFormat="1" applyFont="1" applyAlignment="1">
      <alignment wrapText="1"/>
    </xf>
    <xf numFmtId="0" fontId="17" fillId="0" borderId="0" xfId="0" applyFont="1" applyAlignment="1">
      <alignment vertical="top"/>
    </xf>
    <xf numFmtId="0" fontId="81" fillId="6" borderId="2" xfId="0" applyFont="1" applyFill="1" applyBorder="1" applyAlignment="1" applyProtection="1">
      <alignment vertical="center"/>
      <protection locked="0"/>
    </xf>
    <xf numFmtId="0" fontId="77" fillId="6" borderId="0" xfId="0" applyFont="1" applyFill="1" applyAlignment="1" applyProtection="1">
      <alignment horizontal="left" vertical="center"/>
      <protection locked="0"/>
    </xf>
    <xf numFmtId="0" fontId="77" fillId="6" borderId="7" xfId="0" applyFont="1" applyFill="1" applyBorder="1" applyAlignment="1" applyProtection="1">
      <alignment horizontal="left" vertical="center"/>
      <protection locked="0"/>
    </xf>
    <xf numFmtId="0" fontId="81" fillId="6" borderId="3" xfId="0" applyFont="1" applyFill="1" applyBorder="1" applyAlignment="1" applyProtection="1">
      <alignment horizontal="center" vertical="center"/>
      <protection locked="0"/>
    </xf>
    <xf numFmtId="0" fontId="81" fillId="6" borderId="5" xfId="0" applyFont="1" applyFill="1" applyBorder="1" applyAlignment="1" applyProtection="1">
      <alignment horizontal="left" vertical="center"/>
      <protection locked="0"/>
    </xf>
    <xf numFmtId="0" fontId="92" fillId="0" borderId="5" xfId="0" applyFont="1" applyBorder="1" applyAlignment="1">
      <alignment horizontal="center" wrapText="1"/>
    </xf>
    <xf numFmtId="0" fontId="77" fillId="0" borderId="1" xfId="0" applyFont="1" applyBorder="1" applyAlignment="1">
      <alignment horizontal="left" vertical="center"/>
    </xf>
    <xf numFmtId="0" fontId="77" fillId="0" borderId="2" xfId="0" applyFont="1" applyBorder="1" applyAlignment="1">
      <alignment horizontal="left" vertical="top"/>
    </xf>
    <xf numFmtId="0" fontId="92" fillId="0" borderId="2" xfId="0" applyFont="1" applyBorder="1" applyAlignment="1">
      <alignment horizontal="left" wrapText="1"/>
    </xf>
    <xf numFmtId="0" fontId="77" fillId="0" borderId="2" xfId="0" applyFont="1" applyBorder="1" applyAlignment="1">
      <alignment horizontal="right" vertical="center"/>
    </xf>
    <xf numFmtId="49" fontId="92" fillId="0" borderId="3" xfId="0" applyNumberFormat="1" applyFont="1" applyBorder="1" applyAlignment="1">
      <alignment horizontal="center" wrapText="1"/>
    </xf>
    <xf numFmtId="0" fontId="81" fillId="0" borderId="4" xfId="0" applyFont="1" applyBorder="1" applyAlignment="1">
      <alignment horizontal="left" vertical="center" indent="1"/>
    </xf>
    <xf numFmtId="0" fontId="128" fillId="0" borderId="0" xfId="0" applyFont="1" applyAlignment="1">
      <alignment horizontal="left" wrapText="1"/>
    </xf>
    <xf numFmtId="0" fontId="77" fillId="0" borderId="0" xfId="0" applyFont="1" applyAlignment="1">
      <alignment horizontal="right" vertical="center"/>
    </xf>
    <xf numFmtId="0" fontId="81" fillId="0" borderId="6" xfId="0" applyFont="1" applyBorder="1" applyAlignment="1">
      <alignment horizontal="left" vertical="center" indent="1"/>
    </xf>
    <xf numFmtId="0" fontId="77" fillId="0" borderId="7" xfId="0" applyFont="1" applyBorder="1" applyAlignment="1">
      <alignment horizontal="left" vertical="top"/>
    </xf>
    <xf numFmtId="0" fontId="77" fillId="0" borderId="4" xfId="0" applyFont="1" applyBorder="1"/>
    <xf numFmtId="0" fontId="77" fillId="0" borderId="6" xfId="0" applyFont="1" applyBorder="1" applyAlignment="1">
      <alignment horizontal="left" indent="1"/>
    </xf>
    <xf numFmtId="0" fontId="77" fillId="0" borderId="4" xfId="0" applyFont="1" applyBorder="1" applyAlignment="1">
      <alignment horizontal="left"/>
    </xf>
    <xf numFmtId="0" fontId="77" fillId="0" borderId="6" xfId="0" applyFont="1" applyBorder="1" applyAlignment="1">
      <alignment horizontal="left"/>
    </xf>
    <xf numFmtId="0" fontId="92" fillId="0" borderId="2" xfId="0" applyFont="1" applyBorder="1" applyAlignment="1">
      <alignment horizontal="center" wrapText="1"/>
    </xf>
    <xf numFmtId="0" fontId="92" fillId="0" borderId="0" xfId="0" applyFont="1" applyAlignment="1">
      <alignment horizontal="center" wrapText="1"/>
    </xf>
    <xf numFmtId="0" fontId="92" fillId="0" borderId="7" xfId="0" applyFont="1" applyBorder="1" applyAlignment="1">
      <alignment horizontal="center" wrapText="1"/>
    </xf>
    <xf numFmtId="0" fontId="92" fillId="0" borderId="8" xfId="0" applyFont="1" applyBorder="1" applyAlignment="1">
      <alignment horizontal="center" wrapText="1"/>
    </xf>
    <xf numFmtId="0" fontId="92" fillId="0" borderId="3" xfId="0" applyFont="1" applyBorder="1" applyAlignment="1">
      <alignment horizontal="center" wrapText="1"/>
    </xf>
    <xf numFmtId="0" fontId="77" fillId="0" borderId="0" xfId="0" applyFont="1" applyAlignment="1">
      <alignment horizontal="center" vertical="center" wrapText="1"/>
    </xf>
    <xf numFmtId="0" fontId="81" fillId="0" borderId="7" xfId="0" applyFont="1" applyBorder="1" applyAlignment="1">
      <alignment vertical="top" wrapText="1"/>
    </xf>
    <xf numFmtId="0" fontId="77" fillId="0" borderId="0" xfId="0" applyFont="1" applyAlignment="1">
      <alignment horizontal="center" vertical="center"/>
    </xf>
    <xf numFmtId="14" fontId="81" fillId="0" borderId="7" xfId="0" applyNumberFormat="1" applyFont="1" applyBorder="1" applyAlignment="1">
      <alignment vertical="top"/>
    </xf>
    <xf numFmtId="14" fontId="81" fillId="0" borderId="7" xfId="0" applyNumberFormat="1" applyFont="1" applyBorder="1" applyAlignment="1">
      <alignment horizontal="center" vertical="top"/>
    </xf>
    <xf numFmtId="0" fontId="77" fillId="0" borderId="0" xfId="0" applyFont="1"/>
    <xf numFmtId="0" fontId="77" fillId="0" borderId="0" xfId="0" applyFont="1" applyAlignment="1">
      <alignment horizontal="left" wrapText="1"/>
    </xf>
    <xf numFmtId="0" fontId="129" fillId="0" borderId="0" xfId="0" applyFont="1" applyAlignment="1">
      <alignment horizontal="left" vertical="top"/>
    </xf>
    <xf numFmtId="0" fontId="81" fillId="0" borderId="0" xfId="0" applyFont="1"/>
    <xf numFmtId="0" fontId="79" fillId="7" borderId="0" xfId="0" applyFont="1" applyFill="1" applyAlignment="1">
      <alignment horizontal="left" vertical="top" wrapText="1"/>
    </xf>
    <xf numFmtId="0" fontId="13" fillId="7" borderId="0" xfId="0" applyFont="1" applyFill="1" applyAlignment="1">
      <alignment horizontal="left" vertical="top" wrapText="1"/>
    </xf>
    <xf numFmtId="0" fontId="5" fillId="7" borderId="0" xfId="0" applyFont="1" applyFill="1" applyAlignment="1">
      <alignment horizontal="left" vertical="top" wrapText="1"/>
    </xf>
    <xf numFmtId="2" fontId="5" fillId="7" borderId="0" xfId="0" applyNumberFormat="1" applyFont="1" applyFill="1" applyAlignment="1">
      <alignment horizontal="right" vertical="top" wrapText="1"/>
    </xf>
    <xf numFmtId="4" fontId="5" fillId="7" borderId="0" xfId="0" applyNumberFormat="1" applyFont="1" applyFill="1" applyAlignment="1">
      <alignment horizontal="right" vertical="top" wrapText="1"/>
    </xf>
    <xf numFmtId="3" fontId="5" fillId="7" borderId="0" xfId="0" applyNumberFormat="1" applyFont="1" applyFill="1" applyAlignment="1">
      <alignment horizontal="right" vertical="top" wrapText="1"/>
    </xf>
    <xf numFmtId="167" fontId="5" fillId="7" borderId="0" xfId="0" applyNumberFormat="1" applyFont="1" applyFill="1" applyAlignment="1">
      <alignment horizontal="right" vertical="top" wrapText="1"/>
    </xf>
    <xf numFmtId="0" fontId="10" fillId="7" borderId="0" xfId="0" applyFont="1" applyFill="1" applyAlignment="1">
      <alignment horizontal="left" vertical="top" wrapText="1"/>
    </xf>
    <xf numFmtId="0" fontId="5" fillId="7" borderId="0" xfId="0" applyFont="1" applyFill="1" applyAlignment="1">
      <alignment vertical="top" wrapText="1"/>
    </xf>
    <xf numFmtId="0" fontId="4" fillId="7" borderId="0" xfId="0" applyFont="1" applyFill="1" applyAlignment="1">
      <alignment horizontal="center" vertical="top"/>
    </xf>
    <xf numFmtId="4" fontId="4" fillId="7" borderId="0" xfId="0" applyNumberFormat="1" applyFont="1" applyFill="1" applyAlignment="1">
      <alignment vertical="top"/>
    </xf>
    <xf numFmtId="167" fontId="4" fillId="7" borderId="0" xfId="0" applyNumberFormat="1" applyFont="1" applyFill="1" applyAlignment="1">
      <alignment horizontal="right" vertical="top"/>
    </xf>
    <xf numFmtId="3" fontId="4" fillId="7" borderId="0" xfId="0" applyNumberFormat="1" applyFont="1" applyFill="1" applyAlignment="1">
      <alignment horizontal="right" vertical="top"/>
    </xf>
    <xf numFmtId="0" fontId="79" fillId="8" borderId="0" xfId="0" applyFont="1" applyFill="1" applyAlignment="1">
      <alignment horizontal="left" vertical="top" wrapText="1"/>
    </xf>
    <xf numFmtId="0" fontId="13" fillId="8" borderId="0" xfId="0" applyFont="1" applyFill="1" applyAlignment="1">
      <alignment horizontal="left" vertical="top" wrapText="1"/>
    </xf>
    <xf numFmtId="0" fontId="5" fillId="8" borderId="0" xfId="0" applyFont="1" applyFill="1" applyAlignment="1">
      <alignment horizontal="left" vertical="top" wrapText="1"/>
    </xf>
    <xf numFmtId="2" fontId="5" fillId="8" borderId="0" xfId="0" applyNumberFormat="1" applyFont="1" applyFill="1" applyAlignment="1">
      <alignment horizontal="right" vertical="top" wrapText="1"/>
    </xf>
    <xf numFmtId="4" fontId="5" fillId="8" borderId="0" xfId="0" applyNumberFormat="1" applyFont="1" applyFill="1" applyAlignment="1">
      <alignment horizontal="right" vertical="top" wrapText="1"/>
    </xf>
    <xf numFmtId="3" fontId="5" fillId="8" borderId="0" xfId="0" applyNumberFormat="1" applyFont="1" applyFill="1" applyAlignment="1">
      <alignment horizontal="right" vertical="top" wrapText="1"/>
    </xf>
    <xf numFmtId="167" fontId="5" fillId="8" borderId="0" xfId="0" applyNumberFormat="1" applyFont="1" applyFill="1" applyAlignment="1">
      <alignment horizontal="right" vertical="top" wrapText="1"/>
    </xf>
    <xf numFmtId="0" fontId="79" fillId="8" borderId="0" xfId="0" applyFont="1" applyFill="1" applyAlignment="1">
      <alignment horizontal="left" vertical="top"/>
    </xf>
    <xf numFmtId="0" fontId="5" fillId="8" borderId="0" xfId="0" applyFont="1" applyFill="1" applyAlignment="1">
      <alignment vertical="top" wrapText="1"/>
    </xf>
    <xf numFmtId="0" fontId="4" fillId="8" borderId="0" xfId="0" applyFont="1" applyFill="1" applyAlignment="1">
      <alignment horizontal="center" vertical="top"/>
    </xf>
    <xf numFmtId="4" fontId="4" fillId="8" borderId="0" xfId="0" applyNumberFormat="1" applyFont="1" applyFill="1" applyAlignment="1">
      <alignment vertical="top"/>
    </xf>
    <xf numFmtId="167" fontId="4" fillId="8" borderId="0" xfId="0" applyNumberFormat="1" applyFont="1" applyFill="1" applyAlignment="1">
      <alignment horizontal="right" vertical="top"/>
    </xf>
    <xf numFmtId="3" fontId="4" fillId="8" borderId="0" xfId="0" applyNumberFormat="1" applyFont="1" applyFill="1" applyAlignment="1">
      <alignment horizontal="right" vertical="top"/>
    </xf>
    <xf numFmtId="167" fontId="5" fillId="8" borderId="0" xfId="0" applyNumberFormat="1" applyFont="1" applyFill="1" applyAlignment="1">
      <alignment vertical="top" wrapText="1"/>
    </xf>
    <xf numFmtId="167" fontId="5" fillId="7" borderId="0" xfId="0" applyNumberFormat="1" applyFont="1" applyFill="1" applyAlignment="1">
      <alignment horizontal="right" vertical="top"/>
    </xf>
    <xf numFmtId="0" fontId="78" fillId="7" borderId="0" xfId="0" applyFont="1" applyFill="1" applyAlignment="1">
      <alignment horizontal="left" vertical="top" wrapText="1"/>
    </xf>
    <xf numFmtId="0" fontId="81" fillId="7" borderId="0" xfId="0" applyFont="1" applyFill="1" applyAlignment="1">
      <alignment horizontal="center" vertical="top" wrapText="1"/>
    </xf>
    <xf numFmtId="0" fontId="81" fillId="7" borderId="0" xfId="0" applyFont="1" applyFill="1" applyAlignment="1">
      <alignment horizontal="left" vertical="top" wrapText="1"/>
    </xf>
    <xf numFmtId="0" fontId="77" fillId="7" borderId="0" xfId="0" applyFont="1" applyFill="1" applyAlignment="1">
      <alignment horizontal="right" vertical="top"/>
    </xf>
    <xf numFmtId="2" fontId="77" fillId="7" borderId="0" xfId="0" applyNumberFormat="1" applyFont="1" applyFill="1" applyAlignment="1">
      <alignment horizontal="right" vertical="top"/>
    </xf>
    <xf numFmtId="167" fontId="77" fillId="7" borderId="0" xfId="0" applyNumberFormat="1" applyFont="1" applyFill="1" applyAlignment="1">
      <alignment horizontal="right" vertical="top" wrapText="1"/>
    </xf>
    <xf numFmtId="3" fontId="77" fillId="7" borderId="0" xfId="0" applyNumberFormat="1" applyFont="1" applyFill="1" applyAlignment="1">
      <alignment horizontal="right" vertical="top" wrapText="1"/>
    </xf>
    <xf numFmtId="167" fontId="79" fillId="7" borderId="0" xfId="0" applyNumberFormat="1" applyFont="1" applyFill="1" applyAlignment="1">
      <alignment horizontal="right" vertical="top"/>
    </xf>
    <xf numFmtId="0" fontId="91" fillId="0" borderId="0" xfId="0" applyFont="1" applyAlignment="1">
      <alignment horizontal="left" vertical="top"/>
    </xf>
    <xf numFmtId="0" fontId="82" fillId="7" borderId="0" xfId="0" applyFont="1" applyFill="1" applyAlignment="1">
      <alignment horizontal="left" vertical="top" wrapText="1"/>
    </xf>
    <xf numFmtId="0" fontId="91" fillId="7" borderId="0" xfId="0" applyFont="1" applyFill="1" applyAlignment="1">
      <alignment horizontal="right" vertical="top"/>
    </xf>
    <xf numFmtId="2" fontId="91" fillId="7" borderId="0" xfId="0" applyNumberFormat="1" applyFont="1" applyFill="1" applyAlignment="1">
      <alignment horizontal="right" vertical="top"/>
    </xf>
    <xf numFmtId="167" fontId="91" fillId="7" borderId="0" xfId="0" applyNumberFormat="1" applyFont="1" applyFill="1" applyAlignment="1">
      <alignment horizontal="right" vertical="top" wrapText="1"/>
    </xf>
    <xf numFmtId="3" fontId="91" fillId="7" borderId="0" xfId="0" applyNumberFormat="1" applyFont="1" applyFill="1" applyAlignment="1">
      <alignment horizontal="right" vertical="top" wrapText="1"/>
    </xf>
    <xf numFmtId="167" fontId="130" fillId="7" borderId="0" xfId="0" applyNumberFormat="1" applyFont="1" applyFill="1" applyAlignment="1">
      <alignment horizontal="right" vertical="top"/>
    </xf>
    <xf numFmtId="0" fontId="81" fillId="7" borderId="0" xfId="0" applyFont="1" applyFill="1" applyAlignment="1">
      <alignment vertical="top" wrapText="1"/>
    </xf>
    <xf numFmtId="3" fontId="5" fillId="0" borderId="0" xfId="0" applyNumberFormat="1" applyFont="1" applyAlignment="1" applyProtection="1">
      <alignment horizontal="right" vertical="top" wrapText="1"/>
      <protection locked="0"/>
    </xf>
    <xf numFmtId="0" fontId="79" fillId="7" borderId="0" xfId="0" applyFont="1" applyFill="1" applyAlignment="1">
      <alignment vertical="top" wrapText="1"/>
    </xf>
    <xf numFmtId="0" fontId="5" fillId="7" borderId="0" xfId="0" applyFont="1" applyFill="1" applyAlignment="1">
      <alignment horizontal="center" vertical="top" wrapText="1"/>
    </xf>
    <xf numFmtId="0" fontId="15" fillId="7" borderId="0" xfId="0" applyFont="1" applyFill="1" applyAlignment="1">
      <alignment vertical="top" wrapText="1"/>
    </xf>
    <xf numFmtId="0" fontId="13" fillId="7" borderId="0" xfId="0" applyFont="1" applyFill="1" applyAlignment="1">
      <alignment vertical="top" wrapText="1"/>
    </xf>
    <xf numFmtId="0" fontId="4" fillId="7" borderId="0" xfId="0" applyFont="1" applyFill="1" applyAlignment="1">
      <alignment horizontal="center" vertical="top" wrapText="1"/>
    </xf>
    <xf numFmtId="1" fontId="7" fillId="7" borderId="0" xfId="0" applyNumberFormat="1" applyFont="1" applyFill="1" applyAlignment="1">
      <alignment horizontal="left" vertical="top" wrapText="1"/>
    </xf>
    <xf numFmtId="0" fontId="13" fillId="7" borderId="0" xfId="0" applyFont="1" applyFill="1" applyAlignment="1">
      <alignment wrapText="1"/>
    </xf>
    <xf numFmtId="0" fontId="5" fillId="7" borderId="0" xfId="0" applyFont="1" applyFill="1" applyAlignment="1">
      <alignment horizontal="center" wrapText="1"/>
    </xf>
    <xf numFmtId="2" fontId="5" fillId="7" borderId="0" xfId="0" applyNumberFormat="1" applyFont="1" applyFill="1" applyAlignment="1">
      <alignment horizontal="left" wrapText="1"/>
    </xf>
    <xf numFmtId="167" fontId="5" fillId="7" borderId="0" xfId="0" applyNumberFormat="1" applyFont="1" applyFill="1" applyAlignment="1">
      <alignment horizontal="left" wrapText="1"/>
    </xf>
    <xf numFmtId="3" fontId="5" fillId="7" borderId="0" xfId="0" applyNumberFormat="1" applyFont="1" applyFill="1" applyAlignment="1">
      <alignment horizontal="left" wrapText="1"/>
    </xf>
    <xf numFmtId="0" fontId="8" fillId="7" borderId="0" xfId="0" applyFont="1" applyFill="1" applyAlignment="1">
      <alignment wrapText="1"/>
    </xf>
    <xf numFmtId="0" fontId="5" fillId="7" borderId="0" xfId="0" applyFont="1" applyFill="1" applyAlignment="1">
      <alignment wrapText="1"/>
    </xf>
    <xf numFmtId="0" fontId="5" fillId="8" borderId="0" xfId="0" applyFont="1" applyFill="1" applyAlignment="1">
      <alignment wrapText="1"/>
    </xf>
    <xf numFmtId="0" fontId="5" fillId="8" borderId="0" xfId="0" applyFont="1" applyFill="1" applyAlignment="1">
      <alignment horizontal="center" wrapText="1"/>
    </xf>
    <xf numFmtId="0" fontId="8" fillId="8" borderId="0" xfId="0" applyFont="1" applyFill="1" applyAlignment="1">
      <alignment wrapText="1"/>
    </xf>
    <xf numFmtId="1" fontId="7" fillId="7" borderId="0" xfId="0" applyNumberFormat="1" applyFont="1" applyFill="1" applyAlignment="1">
      <alignment vertical="top" wrapText="1"/>
    </xf>
    <xf numFmtId="167" fontId="5" fillId="7" borderId="0" xfId="0" applyNumberFormat="1" applyFont="1" applyFill="1" applyAlignment="1">
      <alignment wrapText="1"/>
    </xf>
    <xf numFmtId="3" fontId="5" fillId="7" borderId="0" xfId="0" applyNumberFormat="1" applyFont="1" applyFill="1" applyAlignment="1">
      <alignment wrapText="1"/>
    </xf>
    <xf numFmtId="0" fontId="131" fillId="0" borderId="0" xfId="0" applyFont="1"/>
    <xf numFmtId="0" fontId="7" fillId="7" borderId="0" xfId="0" applyFont="1" applyFill="1" applyAlignment="1">
      <alignment horizontal="left" vertical="top" wrapText="1"/>
    </xf>
    <xf numFmtId="0" fontId="4" fillId="7" borderId="0" xfId="0" applyFont="1" applyFill="1" applyAlignment="1">
      <alignment horizontal="center" wrapText="1"/>
    </xf>
    <xf numFmtId="4" fontId="4" fillId="7" borderId="0" xfId="0" applyNumberFormat="1" applyFont="1" applyFill="1"/>
    <xf numFmtId="167" fontId="4" fillId="7" borderId="0" xfId="0" applyNumberFormat="1" applyFont="1" applyFill="1"/>
    <xf numFmtId="3" fontId="4" fillId="7" borderId="0" xfId="0" applyNumberFormat="1" applyFont="1" applyFill="1"/>
    <xf numFmtId="0" fontId="4" fillId="7" borderId="0" xfId="0" applyFont="1" applyFill="1" applyAlignment="1">
      <alignment horizontal="center"/>
    </xf>
    <xf numFmtId="1" fontId="7" fillId="8" borderId="0" xfId="0" applyNumberFormat="1" applyFont="1" applyFill="1" applyAlignment="1">
      <alignment vertical="top" wrapText="1"/>
    </xf>
    <xf numFmtId="0" fontId="13" fillId="8" borderId="0" xfId="0" applyFont="1" applyFill="1" applyAlignment="1">
      <alignment wrapText="1"/>
    </xf>
    <xf numFmtId="167" fontId="5" fillId="8" borderId="0" xfId="0" applyNumberFormat="1" applyFont="1" applyFill="1" applyAlignment="1">
      <alignment wrapText="1"/>
    </xf>
    <xf numFmtId="3" fontId="5" fillId="8" borderId="0" xfId="0" applyNumberFormat="1" applyFont="1" applyFill="1" applyAlignment="1">
      <alignment wrapText="1"/>
    </xf>
    <xf numFmtId="0" fontId="99" fillId="7" borderId="0" xfId="0" applyFont="1" applyFill="1" applyAlignment="1">
      <alignment horizontal="left"/>
    </xf>
    <xf numFmtId="0" fontId="100" fillId="7" borderId="0" xfId="0" applyFont="1" applyFill="1"/>
    <xf numFmtId="0" fontId="94" fillId="7" borderId="0" xfId="0" applyFont="1" applyFill="1" applyAlignment="1">
      <alignment horizontal="center"/>
    </xf>
    <xf numFmtId="0" fontId="94" fillId="7" borderId="0" xfId="0" applyFont="1" applyFill="1"/>
    <xf numFmtId="2" fontId="94" fillId="7" borderId="0" xfId="0" applyNumberFormat="1" applyFont="1" applyFill="1"/>
    <xf numFmtId="1" fontId="95" fillId="7" borderId="0" xfId="0" applyNumberFormat="1" applyFont="1" applyFill="1" applyAlignment="1">
      <alignment wrapText="1"/>
    </xf>
    <xf numFmtId="2" fontId="94" fillId="7" borderId="0" xfId="0" applyNumberFormat="1" applyFont="1" applyFill="1" applyAlignment="1">
      <alignment wrapText="1"/>
    </xf>
    <xf numFmtId="3" fontId="11" fillId="0" borderId="0" xfId="0" applyNumberFormat="1" applyFont="1" applyAlignment="1">
      <alignment horizontal="right" wrapText="1"/>
    </xf>
    <xf numFmtId="1" fontId="7" fillId="7" borderId="0" xfId="0" applyNumberFormat="1" applyFont="1" applyFill="1" applyAlignment="1">
      <alignment horizontal="left"/>
    </xf>
    <xf numFmtId="0" fontId="10" fillId="7" borderId="0" xfId="0" applyFont="1" applyFill="1" applyAlignment="1">
      <alignment wrapText="1"/>
    </xf>
    <xf numFmtId="0" fontId="7" fillId="7" borderId="0" xfId="0" applyFont="1" applyFill="1" applyAlignment="1">
      <alignment horizontal="center"/>
    </xf>
    <xf numFmtId="2" fontId="7" fillId="7" borderId="0" xfId="0" applyNumberFormat="1" applyFont="1" applyFill="1" applyAlignment="1">
      <alignment horizontal="right"/>
    </xf>
    <xf numFmtId="3" fontId="7" fillId="7" borderId="0" xfId="0" applyNumberFormat="1" applyFont="1" applyFill="1" applyAlignment="1">
      <alignment horizontal="right"/>
    </xf>
    <xf numFmtId="4" fontId="8" fillId="7" borderId="0" xfId="0" applyNumberFormat="1" applyFont="1" applyFill="1"/>
    <xf numFmtId="0" fontId="10" fillId="7" borderId="0" xfId="0" applyFont="1" applyFill="1" applyAlignment="1">
      <alignment horizontal="center" wrapText="1"/>
    </xf>
    <xf numFmtId="1" fontId="95" fillId="7" borderId="0" xfId="0" applyNumberFormat="1" applyFont="1" applyFill="1" applyAlignment="1">
      <alignment horizontal="left"/>
    </xf>
    <xf numFmtId="0" fontId="97" fillId="7" borderId="0" xfId="0" applyFont="1" applyFill="1" applyAlignment="1">
      <alignment wrapText="1"/>
    </xf>
    <xf numFmtId="0" fontId="94" fillId="7" borderId="0" xfId="0" applyFont="1" applyFill="1" applyAlignment="1">
      <alignment horizontal="right"/>
    </xf>
    <xf numFmtId="3" fontId="94" fillId="7" borderId="0" xfId="0" applyNumberFormat="1" applyFont="1" applyFill="1" applyAlignment="1">
      <alignment horizontal="right"/>
    </xf>
    <xf numFmtId="3" fontId="97" fillId="0" borderId="0" xfId="0" applyNumberFormat="1" applyFont="1" applyAlignment="1">
      <alignment horizontal="right" wrapText="1"/>
    </xf>
    <xf numFmtId="0" fontId="95" fillId="7" borderId="0" xfId="0" applyFont="1" applyFill="1" applyAlignment="1">
      <alignment horizontal="left" vertical="top" wrapText="1"/>
    </xf>
    <xf numFmtId="0" fontId="97" fillId="7" borderId="0" xfId="0" applyFont="1" applyFill="1" applyAlignment="1">
      <alignment horizontal="left" vertical="top" wrapText="1"/>
    </xf>
    <xf numFmtId="0" fontId="94" fillId="7" borderId="0" xfId="0" applyFont="1" applyFill="1" applyAlignment="1">
      <alignment horizontal="right" vertical="top" wrapText="1"/>
    </xf>
    <xf numFmtId="167" fontId="94" fillId="7" borderId="0" xfId="0" applyNumberFormat="1" applyFont="1" applyFill="1" applyAlignment="1">
      <alignment horizontal="right" vertical="top" wrapText="1"/>
    </xf>
    <xf numFmtId="3" fontId="94" fillId="7" borderId="0" xfId="0" applyNumberFormat="1" applyFont="1" applyFill="1" applyAlignment="1">
      <alignment horizontal="right" vertical="top" wrapText="1"/>
    </xf>
    <xf numFmtId="0" fontId="97" fillId="7" borderId="0" xfId="0" applyFont="1" applyFill="1" applyAlignment="1">
      <alignment horizontal="right" vertical="top" wrapText="1"/>
    </xf>
    <xf numFmtId="167" fontId="97" fillId="7" borderId="0" xfId="0" applyNumberFormat="1" applyFont="1" applyFill="1" applyAlignment="1">
      <alignment horizontal="right" vertical="top" wrapText="1"/>
    </xf>
    <xf numFmtId="3" fontId="97" fillId="7" borderId="0" xfId="0" applyNumberFormat="1" applyFont="1" applyFill="1" applyAlignment="1">
      <alignment horizontal="right" vertical="top" wrapText="1"/>
    </xf>
    <xf numFmtId="0" fontId="95" fillId="8" borderId="0" xfId="0" applyFont="1" applyFill="1" applyAlignment="1">
      <alignment horizontal="left" vertical="top" wrapText="1"/>
    </xf>
    <xf numFmtId="0" fontId="94" fillId="8" borderId="0" xfId="0" applyFont="1" applyFill="1" applyAlignment="1">
      <alignment horizontal="right" vertical="top" wrapText="1"/>
    </xf>
    <xf numFmtId="167" fontId="94" fillId="8" borderId="0" xfId="0" applyNumberFormat="1" applyFont="1" applyFill="1" applyAlignment="1">
      <alignment horizontal="right" vertical="top" wrapText="1"/>
    </xf>
    <xf numFmtId="3" fontId="94" fillId="8" borderId="0" xfId="0" applyNumberFormat="1" applyFont="1" applyFill="1" applyAlignment="1">
      <alignment horizontal="right" vertical="top" wrapText="1"/>
    </xf>
    <xf numFmtId="0" fontId="97" fillId="7" borderId="0" xfId="2" applyFont="1" applyFill="1" applyAlignment="1">
      <alignment horizontal="left" vertical="top" wrapText="1"/>
    </xf>
    <xf numFmtId="2" fontId="94" fillId="7" borderId="0" xfId="0" applyNumberFormat="1" applyFont="1" applyFill="1" applyAlignment="1">
      <alignment horizontal="right" vertical="top"/>
    </xf>
    <xf numFmtId="167" fontId="94" fillId="7" borderId="0" xfId="0" applyNumberFormat="1" applyFont="1" applyFill="1" applyAlignment="1">
      <alignment horizontal="right" vertical="top"/>
    </xf>
    <xf numFmtId="0" fontId="95" fillId="7" borderId="0" xfId="0" applyFont="1" applyFill="1" applyAlignment="1">
      <alignment horizontal="left" vertical="top"/>
    </xf>
    <xf numFmtId="0" fontId="94" fillId="7" borderId="0" xfId="0" applyFont="1" applyFill="1" applyAlignment="1">
      <alignment horizontal="right" vertical="top"/>
    </xf>
    <xf numFmtId="3" fontId="94" fillId="7" borderId="0" xfId="0" applyNumberFormat="1" applyFont="1" applyFill="1" applyAlignment="1">
      <alignment horizontal="right" vertical="top"/>
    </xf>
    <xf numFmtId="0" fontId="97" fillId="7" borderId="0" xfId="0" applyFont="1" applyFill="1" applyAlignment="1">
      <alignment horizontal="left" vertical="top"/>
    </xf>
    <xf numFmtId="49" fontId="7" fillId="0" borderId="21" xfId="0" applyNumberFormat="1" applyFont="1" applyBorder="1" applyAlignment="1">
      <alignment horizontal="center" vertical="center"/>
    </xf>
    <xf numFmtId="3" fontId="53" fillId="0" borderId="0" xfId="0" applyNumberFormat="1" applyFont="1" applyAlignment="1">
      <alignment vertical="top"/>
    </xf>
    <xf numFmtId="0" fontId="65" fillId="0" borderId="0" xfId="0" applyFont="1" applyAlignment="1">
      <alignment horizontal="left" wrapText="1"/>
    </xf>
    <xf numFmtId="0" fontId="77" fillId="0" borderId="0" xfId="0" applyFont="1" applyAlignment="1">
      <alignment horizontal="center" wrapText="1"/>
    </xf>
    <xf numFmtId="0" fontId="77" fillId="0" borderId="2" xfId="0" applyFont="1" applyBorder="1" applyAlignment="1">
      <alignment horizontal="center" wrapText="1"/>
    </xf>
    <xf numFmtId="0" fontId="84" fillId="0" borderId="0" xfId="0" applyFont="1" applyAlignment="1">
      <alignment horizontal="left" vertical="center" wrapText="1"/>
    </xf>
    <xf numFmtId="0" fontId="84" fillId="0" borderId="0" xfId="0" applyFont="1" applyAlignment="1">
      <alignment horizontal="left" vertical="center"/>
    </xf>
    <xf numFmtId="0" fontId="25" fillId="0" borderId="0" xfId="0" applyFont="1" applyAlignment="1">
      <alignment horizontal="left" vertical="center" wrapText="1"/>
    </xf>
    <xf numFmtId="0" fontId="0" fillId="0" borderId="0" xfId="0" applyAlignment="1">
      <alignment vertical="center"/>
    </xf>
    <xf numFmtId="0" fontId="87" fillId="0" borderId="0" xfId="0" applyFont="1" applyAlignment="1">
      <alignment horizontal="center" vertical="center"/>
    </xf>
    <xf numFmtId="0" fontId="0" fillId="0" borderId="0" xfId="0"/>
    <xf numFmtId="0" fontId="26" fillId="0" borderId="0" xfId="0" applyFont="1" applyAlignment="1">
      <alignment horizontal="left" vertical="center"/>
    </xf>
    <xf numFmtId="0" fontId="26" fillId="0" borderId="0" xfId="0" applyFont="1" applyAlignment="1">
      <alignment horizontal="left" vertical="center" wrapText="1"/>
    </xf>
    <xf numFmtId="0" fontId="25" fillId="0" borderId="0" xfId="0" applyFont="1" applyAlignment="1">
      <alignment horizontal="left" vertical="top" wrapText="1"/>
    </xf>
    <xf numFmtId="0" fontId="13" fillId="0" borderId="0" xfId="0" applyFont="1" applyAlignment="1">
      <alignment vertical="top" wrapText="1"/>
    </xf>
    <xf numFmtId="0" fontId="55" fillId="3" borderId="0" xfId="0" applyFont="1" applyFill="1" applyAlignment="1">
      <alignment horizontal="left" vertical="center" wrapText="1"/>
    </xf>
    <xf numFmtId="0" fontId="52" fillId="2" borderId="0" xfId="0" applyFont="1" applyFill="1" applyAlignment="1">
      <alignment horizontal="left" vertical="center"/>
    </xf>
    <xf numFmtId="0" fontId="55" fillId="0" borderId="0" xfId="0" applyFont="1" applyAlignment="1">
      <alignment horizontal="left" vertical="center"/>
    </xf>
    <xf numFmtId="0" fontId="53" fillId="0" borderId="0" xfId="0" applyFont="1" applyAlignment="1">
      <alignment vertical="top" wrapText="1"/>
    </xf>
    <xf numFmtId="0" fontId="12" fillId="0" borderId="0" xfId="0" applyFont="1" applyAlignment="1">
      <alignment horizontal="left" vertical="top"/>
    </xf>
    <xf numFmtId="0" fontId="33" fillId="0" borderId="0" xfId="0" applyFont="1" applyAlignment="1">
      <alignment horizontal="center" vertical="center" wrapText="1"/>
    </xf>
    <xf numFmtId="0" fontId="34" fillId="0" borderId="7" xfId="0" applyFont="1" applyBorder="1" applyAlignment="1">
      <alignment horizontal="left"/>
    </xf>
    <xf numFmtId="0" fontId="12" fillId="0" borderId="0" xfId="0" applyFont="1" applyAlignment="1">
      <alignment horizontal="left" vertical="center"/>
    </xf>
    <xf numFmtId="0" fontId="12" fillId="0" borderId="0" xfId="0" applyFont="1" applyAlignment="1">
      <alignment horizontal="left" vertical="center" wrapText="1"/>
    </xf>
    <xf numFmtId="0" fontId="33" fillId="0" borderId="0" xfId="0" applyFont="1" applyAlignment="1">
      <alignment horizontal="center" vertical="center"/>
    </xf>
    <xf numFmtId="49" fontId="12" fillId="0" borderId="0" xfId="0" applyNumberFormat="1" applyFont="1" applyAlignment="1">
      <alignment horizontal="left" vertical="center" wrapText="1"/>
    </xf>
    <xf numFmtId="0" fontId="34" fillId="0" borderId="7" xfId="0" applyFont="1" applyBorder="1" applyAlignment="1">
      <alignment horizontal="left" wrapText="1"/>
    </xf>
  </cellXfs>
  <cellStyles count="4">
    <cellStyle name="Normální" xfId="0" builtinId="0"/>
    <cellStyle name="Normální 2" xfId="1" xr:uid="{00000000-0005-0000-0000-000002000000}"/>
    <cellStyle name="normální_C.1.3 Rozpočet ZTI" xfId="2" xr:uid="{00000000-0005-0000-0000-000003000000}"/>
    <cellStyle name="Procenta" xfId="3" builtinId="5"/>
  </cellStyles>
  <dxfs count="8">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tomek/Downloads/rozpotyextern/SO_101_RZP_revize_R00_N&#225;m&#283;st&#237;%20B&#283;chovic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otomek/Downloads/rozpotyextern/Tom-BechNaDPS-SO801veg_vvTab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kapitulace stavby"/>
      <sheetName val="SO 101 - Komunikace a zpe..."/>
      <sheetName val="Seznam figur"/>
      <sheetName val="Pokyny pro vyplnění"/>
    </sheetNames>
    <sheetDataSet>
      <sheetData sheetId="0">
        <row r="6">
          <cell r="K6" t="str">
            <v>Náměstí Běchovice</v>
          </cell>
        </row>
        <row r="8">
          <cell r="AN8" t="str">
            <v>27. 4. 2021</v>
          </cell>
        </row>
        <row r="13">
          <cell r="AN13" t="str">
            <v/>
          </cell>
        </row>
        <row r="14">
          <cell r="E14" t="str">
            <v xml:space="preserve"> </v>
          </cell>
          <cell r="AN14" t="str">
            <v/>
          </cell>
        </row>
      </sheetData>
      <sheetData sheetId="1">
        <row r="33">
          <cell r="F33">
            <v>13310931.189999999</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kapitulace projektu"/>
      <sheetName val="Souhrn SO"/>
      <sheetName val="VegUpravy"/>
    </sheetNames>
    <sheetDataSet>
      <sheetData sheetId="0">
        <row r="1">
          <cell r="D1" t="str">
            <v>Náměstí Běchovice</v>
          </cell>
        </row>
        <row r="2">
          <cell r="D2" t="str">
            <v>Městská část Praha – Běchovice, Českobrodská 3, 190 11 Praha – Běchovice</v>
          </cell>
        </row>
        <row r="3">
          <cell r="D3" t="str">
            <v>Ing. Tomáš Pilař</v>
          </cell>
        </row>
      </sheetData>
      <sheetData sheetId="1">
        <row r="4">
          <cell r="D4">
            <v>44301</v>
          </cell>
        </row>
      </sheetData>
      <sheetData sheetId="2">
        <row r="6">
          <cell r="D6" t="str">
            <v>SO 801 Vegetační úpravy</v>
          </cell>
        </row>
      </sheetData>
    </sheetDataSet>
  </externalBook>
</externalLink>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K525"/>
  <sheetViews>
    <sheetView tabSelected="1" workbookViewId="0">
      <selection activeCell="C21" sqref="C21"/>
    </sheetView>
  </sheetViews>
  <sheetFormatPr defaultRowHeight="13.2" x14ac:dyDescent="0.25"/>
  <cols>
    <col min="1" max="1" width="4.5546875" style="47" customWidth="1"/>
    <col min="2" max="2" width="6.44140625" style="2" customWidth="1"/>
    <col min="3" max="3" width="42.88671875" style="48" customWidth="1"/>
    <col min="4" max="4" width="5.109375" style="48" customWidth="1"/>
    <col min="5" max="5" width="8.6640625" style="48" customWidth="1"/>
    <col min="6" max="6" width="15.5546875" style="48" customWidth="1"/>
    <col min="7" max="7" width="13.109375" style="47" customWidth="1"/>
    <col min="8" max="8" width="19.88671875" style="49" customWidth="1"/>
    <col min="9" max="9" width="26.5546875" style="49" customWidth="1"/>
    <col min="10" max="10" width="24" style="50" customWidth="1"/>
    <col min="11" max="11" width="22.6640625" style="47" customWidth="1"/>
    <col min="12" max="16384" width="8.88671875" style="47"/>
  </cols>
  <sheetData>
    <row r="2" spans="1:10" ht="15.6" x14ac:dyDescent="0.25">
      <c r="C2" s="616" t="s">
        <v>95</v>
      </c>
    </row>
    <row r="3" spans="1:10" x14ac:dyDescent="0.25">
      <c r="C3" s="615" t="s">
        <v>2626</v>
      </c>
    </row>
    <row r="4" spans="1:10" ht="18" x14ac:dyDescent="0.25">
      <c r="C4" s="51"/>
    </row>
    <row r="5" spans="1:10" x14ac:dyDescent="0.25">
      <c r="C5" s="52" t="s">
        <v>96</v>
      </c>
    </row>
    <row r="6" spans="1:10" ht="15.6" x14ac:dyDescent="0.3">
      <c r="C6" s="53" t="s">
        <v>97</v>
      </c>
    </row>
    <row r="7" spans="1:10" ht="15.6" x14ac:dyDescent="0.3">
      <c r="C7" s="53"/>
    </row>
    <row r="9" spans="1:10" customFormat="1" x14ac:dyDescent="0.25">
      <c r="A9" s="869" t="s">
        <v>2627</v>
      </c>
      <c r="B9" s="870"/>
      <c r="C9" s="871" t="s">
        <v>744</v>
      </c>
      <c r="D9" s="883"/>
      <c r="E9" s="872" t="s">
        <v>2628</v>
      </c>
      <c r="F9" s="873" t="s">
        <v>2633</v>
      </c>
      <c r="G9" s="47"/>
      <c r="H9" s="49"/>
      <c r="I9" s="55"/>
      <c r="J9" s="56"/>
    </row>
    <row r="10" spans="1:10" customFormat="1" x14ac:dyDescent="0.25">
      <c r="A10" s="874"/>
      <c r="B10" s="116"/>
      <c r="C10" s="875" t="s">
        <v>2632</v>
      </c>
      <c r="D10" s="884"/>
      <c r="E10" s="876" t="s">
        <v>745</v>
      </c>
      <c r="F10" s="868"/>
      <c r="G10" s="47"/>
      <c r="H10" s="49"/>
      <c r="I10" s="55"/>
      <c r="J10" s="56"/>
    </row>
    <row r="11" spans="1:10" customFormat="1" x14ac:dyDescent="0.25">
      <c r="A11" s="877"/>
      <c r="B11" s="878"/>
      <c r="C11" s="885"/>
      <c r="D11" s="885"/>
      <c r="E11" s="885"/>
      <c r="F11" s="886"/>
      <c r="G11" s="47"/>
      <c r="H11" s="49"/>
      <c r="I11" s="55"/>
      <c r="J11" s="56"/>
    </row>
    <row r="12" spans="1:10" customFormat="1" x14ac:dyDescent="0.25">
      <c r="A12" s="869" t="s">
        <v>762</v>
      </c>
      <c r="B12" s="870"/>
      <c r="C12" s="883"/>
      <c r="D12" s="883"/>
      <c r="E12" s="872" t="s">
        <v>2628</v>
      </c>
      <c r="F12" s="887"/>
      <c r="G12" s="47"/>
      <c r="H12" s="49"/>
      <c r="I12" s="55"/>
      <c r="J12" s="56"/>
    </row>
    <row r="13" spans="1:10" customFormat="1" x14ac:dyDescent="0.25">
      <c r="A13" s="879"/>
      <c r="B13" s="116"/>
      <c r="C13" s="884"/>
      <c r="D13" s="884"/>
      <c r="E13" s="876" t="s">
        <v>745</v>
      </c>
      <c r="F13" s="868"/>
      <c r="G13" s="47"/>
      <c r="H13" s="49"/>
      <c r="I13" s="55"/>
      <c r="J13" s="56"/>
    </row>
    <row r="14" spans="1:10" customFormat="1" x14ac:dyDescent="0.25">
      <c r="A14" s="880"/>
      <c r="B14" s="878"/>
      <c r="C14" s="884"/>
      <c r="D14" s="885"/>
      <c r="E14" s="885"/>
      <c r="F14" s="886"/>
      <c r="G14" s="47"/>
      <c r="H14" s="49"/>
      <c r="I14" s="55"/>
      <c r="J14" s="56"/>
    </row>
    <row r="15" spans="1:10" customFormat="1" x14ac:dyDescent="0.25">
      <c r="A15" s="869" t="s">
        <v>752</v>
      </c>
      <c r="B15" s="870"/>
      <c r="C15" s="863"/>
      <c r="D15" s="883"/>
      <c r="E15" s="872" t="s">
        <v>2628</v>
      </c>
      <c r="F15" s="866"/>
      <c r="G15" s="47"/>
      <c r="H15" s="49"/>
      <c r="I15" s="55"/>
      <c r="J15" s="56"/>
    </row>
    <row r="16" spans="1:10" customFormat="1" x14ac:dyDescent="0.25">
      <c r="A16" s="881"/>
      <c r="B16" s="116"/>
      <c r="C16" s="864"/>
      <c r="D16" s="884"/>
      <c r="E16" s="876" t="s">
        <v>745</v>
      </c>
      <c r="F16" s="867"/>
      <c r="G16" s="47"/>
      <c r="H16" s="49"/>
      <c r="I16" s="55"/>
      <c r="J16" s="56"/>
    </row>
    <row r="17" spans="1:11" customFormat="1" x14ac:dyDescent="0.25">
      <c r="A17" s="882"/>
      <c r="B17" s="878"/>
      <c r="C17" s="865"/>
      <c r="D17" s="885"/>
      <c r="E17" s="885"/>
      <c r="F17" s="886"/>
      <c r="G17" s="47"/>
      <c r="H17" s="49"/>
      <c r="I17" s="55"/>
      <c r="J17" s="56"/>
    </row>
    <row r="18" spans="1:11" customFormat="1" x14ac:dyDescent="0.25">
      <c r="A18" s="47"/>
      <c r="B18" s="2"/>
      <c r="C18" s="48"/>
      <c r="D18" s="48"/>
      <c r="E18" s="48"/>
      <c r="F18" s="48"/>
      <c r="G18" s="47"/>
      <c r="H18" s="49"/>
      <c r="I18" s="55"/>
      <c r="J18" s="56"/>
    </row>
    <row r="19" spans="1:11" customFormat="1" x14ac:dyDescent="0.25">
      <c r="A19" s="47"/>
      <c r="B19" s="2"/>
      <c r="C19" s="48"/>
      <c r="D19" s="48"/>
      <c r="E19" s="48"/>
      <c r="F19" s="48"/>
      <c r="G19" s="47"/>
      <c r="H19" s="49"/>
      <c r="I19" s="55"/>
      <c r="J19" s="56"/>
    </row>
    <row r="20" spans="1:11" customFormat="1" ht="15.6" x14ac:dyDescent="0.3">
      <c r="A20" s="47"/>
      <c r="B20" s="2"/>
      <c r="C20" s="1013" t="s">
        <v>557</v>
      </c>
      <c r="D20" s="54"/>
      <c r="E20" s="54"/>
      <c r="F20" s="54"/>
      <c r="G20" s="47"/>
      <c r="H20" s="49"/>
      <c r="I20" s="55"/>
      <c r="J20" s="56"/>
    </row>
    <row r="21" spans="1:11" customFormat="1" ht="14.4" x14ac:dyDescent="0.3">
      <c r="A21" s="47"/>
      <c r="B21" s="2"/>
      <c r="C21" s="54"/>
      <c r="D21" s="54"/>
      <c r="E21" s="54"/>
      <c r="F21" s="54"/>
      <c r="G21" s="47"/>
      <c r="H21" s="49"/>
      <c r="I21" s="55"/>
      <c r="J21" s="56"/>
    </row>
    <row r="22" spans="1:11" customFormat="1" ht="14.4" x14ac:dyDescent="0.3">
      <c r="A22" s="47"/>
      <c r="B22" s="2"/>
      <c r="C22" s="54" t="s">
        <v>558</v>
      </c>
      <c r="D22" s="48" t="s">
        <v>71</v>
      </c>
      <c r="E22" s="48" t="s">
        <v>121</v>
      </c>
      <c r="F22" s="57">
        <f>SUM(F29:F41)</f>
        <v>0</v>
      </c>
      <c r="G22" s="58"/>
      <c r="H22" s="59"/>
      <c r="I22" s="60"/>
      <c r="J22" s="61"/>
    </row>
    <row r="23" spans="1:11" customFormat="1" ht="14.4" x14ac:dyDescent="0.3">
      <c r="A23" s="47"/>
      <c r="B23" s="2"/>
      <c r="C23" s="18" t="s">
        <v>2543</v>
      </c>
      <c r="D23" s="18" t="s">
        <v>71</v>
      </c>
      <c r="E23" s="424">
        <v>0.03</v>
      </c>
      <c r="F23" s="57">
        <f>F22*E23</f>
        <v>0</v>
      </c>
      <c r="G23" s="58"/>
      <c r="H23" s="59"/>
      <c r="I23" s="60"/>
      <c r="J23" s="61"/>
    </row>
    <row r="24" spans="1:11" customFormat="1" ht="14.4" x14ac:dyDescent="0.3">
      <c r="A24" s="47"/>
      <c r="B24" s="2"/>
      <c r="C24" s="18" t="s">
        <v>2544</v>
      </c>
      <c r="D24" s="48"/>
      <c r="E24" s="48"/>
      <c r="F24" s="57">
        <f>SUM(F22:F23)</f>
        <v>0</v>
      </c>
      <c r="G24" s="58"/>
      <c r="H24" s="59"/>
      <c r="I24" s="60"/>
      <c r="J24" s="61"/>
    </row>
    <row r="25" spans="1:11" customFormat="1" ht="14.4" x14ac:dyDescent="0.3">
      <c r="A25" s="47"/>
      <c r="B25" s="2"/>
      <c r="C25" s="54" t="s">
        <v>110</v>
      </c>
      <c r="D25" s="48" t="s">
        <v>71</v>
      </c>
      <c r="E25" s="48"/>
      <c r="F25" s="57">
        <f>F24*0.21</f>
        <v>0</v>
      </c>
      <c r="G25" s="58"/>
      <c r="H25" s="59"/>
      <c r="I25" s="60"/>
      <c r="J25" s="61"/>
    </row>
    <row r="26" spans="1:11" customFormat="1" ht="14.4" x14ac:dyDescent="0.3">
      <c r="A26" s="47"/>
      <c r="B26" s="2"/>
      <c r="C26" s="54" t="s">
        <v>559</v>
      </c>
      <c r="D26" s="48" t="s">
        <v>71</v>
      </c>
      <c r="E26" s="48" t="s">
        <v>121</v>
      </c>
      <c r="F26" s="57">
        <f>SUM(F24:F25)</f>
        <v>0</v>
      </c>
      <c r="G26" s="614"/>
      <c r="H26" s="59"/>
      <c r="I26" s="60"/>
      <c r="J26" s="61"/>
      <c r="K26" s="62"/>
    </row>
    <row r="27" spans="1:11" customFormat="1" ht="14.4" x14ac:dyDescent="0.3">
      <c r="A27" s="47"/>
      <c r="B27" s="2"/>
      <c r="C27" s="54"/>
      <c r="D27" s="54"/>
      <c r="E27" s="54"/>
      <c r="F27" s="54"/>
      <c r="G27" s="58"/>
      <c r="H27" s="59"/>
      <c r="I27" s="60"/>
      <c r="J27" s="61"/>
    </row>
    <row r="28" spans="1:11" customFormat="1" ht="14.4" x14ac:dyDescent="0.3">
      <c r="A28" s="47"/>
      <c r="B28" s="63"/>
      <c r="C28" s="64"/>
      <c r="D28" s="64"/>
      <c r="E28" s="64"/>
      <c r="F28" s="64"/>
      <c r="G28" s="47"/>
      <c r="H28" s="49"/>
      <c r="I28" s="55"/>
      <c r="J28" s="56"/>
    </row>
    <row r="29" spans="1:11" customFormat="1" x14ac:dyDescent="0.25">
      <c r="A29" s="47">
        <v>1</v>
      </c>
      <c r="B29" s="2"/>
      <c r="C29" s="48" t="s">
        <v>2546</v>
      </c>
      <c r="D29" s="48" t="s">
        <v>71</v>
      </c>
      <c r="E29" s="48"/>
      <c r="F29" s="65">
        <f>'SO 001 (HTU)'!G12</f>
        <v>0</v>
      </c>
      <c r="G29" s="66"/>
      <c r="H29" s="49"/>
      <c r="I29" s="55"/>
      <c r="J29" s="56"/>
    </row>
    <row r="30" spans="1:11" customFormat="1" x14ac:dyDescent="0.25">
      <c r="A30" s="47">
        <v>2</v>
      </c>
      <c r="B30" s="2"/>
      <c r="C30" s="48" t="s">
        <v>561</v>
      </c>
      <c r="D30" s="48" t="s">
        <v>71</v>
      </c>
      <c r="E30" s="48"/>
      <c r="F30" s="65">
        <f>'SO 101'!J30</f>
        <v>0</v>
      </c>
      <c r="G30" s="66"/>
      <c r="H30" s="49"/>
      <c r="I30" s="55"/>
      <c r="J30" s="56"/>
    </row>
    <row r="31" spans="1:11" customFormat="1" x14ac:dyDescent="0.25">
      <c r="A31" s="47">
        <v>3</v>
      </c>
      <c r="B31" s="2"/>
      <c r="C31" s="48" t="s">
        <v>562</v>
      </c>
      <c r="D31" s="48" t="s">
        <v>71</v>
      </c>
      <c r="E31" s="48"/>
      <c r="F31" s="65">
        <f>'SO 301'!G13</f>
        <v>0</v>
      </c>
      <c r="G31" s="66"/>
      <c r="H31" s="49"/>
      <c r="I31" s="55"/>
      <c r="J31" s="56"/>
    </row>
    <row r="32" spans="1:11" customFormat="1" x14ac:dyDescent="0.25">
      <c r="A32" s="47">
        <v>4</v>
      </c>
      <c r="B32" s="2"/>
      <c r="C32" s="48" t="s">
        <v>198</v>
      </c>
      <c r="D32" s="48" t="s">
        <v>71</v>
      </c>
      <c r="E32" s="48"/>
      <c r="F32" s="65">
        <f>'SO 302'!G13</f>
        <v>0</v>
      </c>
      <c r="G32" s="66"/>
      <c r="H32" s="49"/>
      <c r="I32" s="55"/>
      <c r="J32" s="56"/>
    </row>
    <row r="33" spans="1:11" customFormat="1" x14ac:dyDescent="0.25">
      <c r="A33" s="47">
        <v>5</v>
      </c>
      <c r="B33" s="67"/>
      <c r="C33" s="4" t="s">
        <v>563</v>
      </c>
      <c r="D33" s="48" t="s">
        <v>71</v>
      </c>
      <c r="E33" s="48"/>
      <c r="F33" s="65">
        <f>'SO 401'!G13</f>
        <v>0</v>
      </c>
      <c r="G33" s="66"/>
      <c r="H33" s="49"/>
      <c r="I33" s="55"/>
      <c r="J33" s="50"/>
    </row>
    <row r="34" spans="1:11" customFormat="1" x14ac:dyDescent="0.25">
      <c r="A34" s="47">
        <v>6</v>
      </c>
      <c r="B34" s="2"/>
      <c r="C34" s="48" t="s">
        <v>560</v>
      </c>
      <c r="D34" s="48" t="s">
        <v>71</v>
      </c>
      <c r="E34" s="48"/>
      <c r="F34" s="65">
        <f>'SO 402'!G12</f>
        <v>0</v>
      </c>
      <c r="G34" s="66"/>
      <c r="H34" s="49"/>
      <c r="I34" s="55"/>
      <c r="J34" s="56"/>
    </row>
    <row r="35" spans="1:11" customFormat="1" x14ac:dyDescent="0.25">
      <c r="A35" s="47">
        <v>7</v>
      </c>
      <c r="B35" s="2"/>
      <c r="C35" s="48" t="s">
        <v>567</v>
      </c>
      <c r="D35" s="48" t="s">
        <v>71</v>
      </c>
      <c r="E35" s="48"/>
      <c r="F35" s="65">
        <f>'SO 403'!G11</f>
        <v>0</v>
      </c>
      <c r="G35" s="66"/>
      <c r="H35" s="49"/>
      <c r="I35" s="55"/>
      <c r="J35" s="56"/>
    </row>
    <row r="36" spans="1:11" customFormat="1" x14ac:dyDescent="0.25">
      <c r="A36" s="47">
        <v>8</v>
      </c>
      <c r="B36" s="2"/>
      <c r="C36" s="48" t="s">
        <v>564</v>
      </c>
      <c r="D36" s="48" t="s">
        <v>71</v>
      </c>
      <c r="E36" s="48"/>
      <c r="F36" s="65">
        <f>'SO 701'!G12</f>
        <v>0</v>
      </c>
      <c r="G36" s="66"/>
      <c r="H36" s="49"/>
      <c r="I36" s="55"/>
      <c r="J36" s="56"/>
    </row>
    <row r="37" spans="1:11" customFormat="1" x14ac:dyDescent="0.25">
      <c r="A37" s="47">
        <v>9</v>
      </c>
      <c r="B37" s="2"/>
      <c r="C37" s="48" t="s">
        <v>565</v>
      </c>
      <c r="D37" s="48" t="s">
        <v>71</v>
      </c>
      <c r="E37" s="48"/>
      <c r="F37" s="65">
        <f>'SO 702-technologie'!G89+'SO 702-elektroinstalace'!G72</f>
        <v>0</v>
      </c>
      <c r="G37" s="66"/>
      <c r="H37" s="49"/>
      <c r="I37" s="55"/>
      <c r="J37" s="56"/>
    </row>
    <row r="38" spans="1:11" customFormat="1" x14ac:dyDescent="0.25">
      <c r="A38" s="47">
        <v>10</v>
      </c>
      <c r="B38" s="2"/>
      <c r="C38" s="48" t="s">
        <v>470</v>
      </c>
      <c r="D38" s="48" t="s">
        <v>71</v>
      </c>
      <c r="E38" s="48"/>
      <c r="F38" s="65">
        <f>'SO 703'!G14</f>
        <v>0</v>
      </c>
      <c r="G38" s="66"/>
      <c r="H38" s="49"/>
      <c r="I38" s="55"/>
      <c r="J38" s="56"/>
    </row>
    <row r="39" spans="1:11" customFormat="1" x14ac:dyDescent="0.25">
      <c r="A39" s="47">
        <v>11</v>
      </c>
      <c r="B39" s="2"/>
      <c r="C39" s="48" t="s">
        <v>566</v>
      </c>
      <c r="D39" s="48" t="s">
        <v>71</v>
      </c>
      <c r="E39" s="48"/>
      <c r="F39" s="65">
        <f>'SO 801'!I6</f>
        <v>0</v>
      </c>
      <c r="G39" s="66"/>
      <c r="H39" s="49"/>
      <c r="I39" s="55"/>
      <c r="J39" s="56"/>
    </row>
    <row r="40" spans="1:11" customFormat="1" x14ac:dyDescent="0.25">
      <c r="A40" s="47"/>
      <c r="B40" s="2"/>
      <c r="C40" s="48"/>
      <c r="D40" s="48"/>
      <c r="E40" s="48"/>
      <c r="F40" s="65"/>
      <c r="G40" s="66"/>
      <c r="H40" s="49"/>
      <c r="I40" s="55"/>
      <c r="J40" s="56"/>
    </row>
    <row r="41" spans="1:11" customFormat="1" x14ac:dyDescent="0.25">
      <c r="A41" s="47"/>
      <c r="B41" s="2"/>
      <c r="C41" s="48"/>
      <c r="D41" s="48"/>
      <c r="E41" s="48"/>
      <c r="F41" s="65"/>
      <c r="G41" s="66"/>
      <c r="H41" s="49"/>
      <c r="I41" s="55"/>
      <c r="J41" s="56"/>
    </row>
    <row r="42" spans="1:11" customFormat="1" x14ac:dyDescent="0.25">
      <c r="A42" s="47"/>
      <c r="B42" s="2"/>
      <c r="C42" s="48"/>
      <c r="D42" s="48"/>
      <c r="E42" s="48"/>
      <c r="F42" s="65"/>
      <c r="G42" s="66"/>
      <c r="H42" s="49"/>
      <c r="I42" s="55"/>
      <c r="J42" s="56"/>
    </row>
    <row r="43" spans="1:11" customFormat="1" x14ac:dyDescent="0.25">
      <c r="A43" s="47"/>
      <c r="B43" s="68"/>
      <c r="C43" s="48"/>
      <c r="D43" s="48"/>
      <c r="E43" s="48"/>
      <c r="F43" s="48"/>
      <c r="G43" s="47"/>
      <c r="H43" s="49"/>
      <c r="I43" s="49"/>
      <c r="J43" s="50"/>
      <c r="K43" s="47"/>
    </row>
    <row r="44" spans="1:11" customFormat="1" x14ac:dyDescent="0.25">
      <c r="A44" s="456"/>
      <c r="B44" s="888" t="s">
        <v>825</v>
      </c>
      <c r="C44" s="889"/>
      <c r="D44" s="890" t="s">
        <v>2629</v>
      </c>
      <c r="E44" s="891"/>
      <c r="F44" s="892"/>
      <c r="G44" s="862"/>
      <c r="H44" s="49"/>
      <c r="I44" s="49"/>
      <c r="J44" s="50"/>
      <c r="K44" s="47"/>
    </row>
    <row r="45" spans="1:11" customFormat="1" x14ac:dyDescent="0.25">
      <c r="A45" s="432"/>
      <c r="B45" s="432"/>
      <c r="C45" s="432"/>
      <c r="D45" s="893"/>
      <c r="E45" s="893"/>
      <c r="F45" s="893"/>
      <c r="H45" s="49"/>
      <c r="I45" s="49"/>
      <c r="J45" s="50"/>
      <c r="K45" s="47"/>
    </row>
    <row r="46" spans="1:11" customFormat="1" x14ac:dyDescent="0.25">
      <c r="A46" s="433"/>
      <c r="B46" s="116"/>
      <c r="C46" s="894"/>
      <c r="D46" s="894"/>
      <c r="E46" s="894"/>
      <c r="F46" s="894"/>
      <c r="G46" s="47"/>
      <c r="H46" s="49"/>
      <c r="I46" s="49"/>
      <c r="J46" s="50"/>
      <c r="K46" s="47"/>
    </row>
    <row r="47" spans="1:11" customFormat="1" x14ac:dyDescent="0.25">
      <c r="A47" s="432"/>
      <c r="B47" s="116"/>
      <c r="C47" s="894"/>
      <c r="D47" s="894"/>
      <c r="E47" s="894"/>
      <c r="F47" s="894"/>
      <c r="G47" s="47"/>
      <c r="H47" s="49"/>
      <c r="I47" s="49"/>
      <c r="J47" s="50"/>
      <c r="K47" s="47"/>
    </row>
    <row r="48" spans="1:11" customFormat="1" x14ac:dyDescent="0.25">
      <c r="A48" s="456"/>
      <c r="B48" s="895"/>
      <c r="C48" s="894"/>
      <c r="D48" s="894"/>
      <c r="E48" s="894"/>
      <c r="F48" s="894"/>
      <c r="G48" s="47"/>
      <c r="H48" s="49"/>
      <c r="I48" s="49"/>
      <c r="J48" s="50"/>
      <c r="K48" s="47"/>
    </row>
    <row r="49" spans="1:11" customFormat="1" x14ac:dyDescent="0.25">
      <c r="A49" s="456"/>
      <c r="B49" s="888"/>
      <c r="C49" s="889"/>
      <c r="D49" s="896"/>
      <c r="E49" s="891"/>
      <c r="F49" s="892"/>
      <c r="G49" s="862"/>
      <c r="H49" s="49"/>
      <c r="I49" s="49"/>
      <c r="J49" s="50"/>
      <c r="K49" s="47"/>
    </row>
    <row r="50" spans="1:11" customFormat="1" x14ac:dyDescent="0.25">
      <c r="A50" s="456"/>
      <c r="B50" s="1014" t="s">
        <v>2630</v>
      </c>
      <c r="C50" s="1015"/>
      <c r="D50" s="893"/>
      <c r="E50" s="894"/>
      <c r="F50" s="456" t="s">
        <v>2631</v>
      </c>
      <c r="H50" s="49"/>
      <c r="I50" s="49"/>
      <c r="J50" s="50"/>
      <c r="K50" s="47"/>
    </row>
    <row r="51" spans="1:11" customFormat="1" x14ac:dyDescent="0.25">
      <c r="A51" s="456"/>
      <c r="B51" s="895"/>
      <c r="C51" s="894"/>
      <c r="D51" s="894"/>
      <c r="E51" s="894"/>
      <c r="F51" s="894"/>
      <c r="G51" s="47"/>
      <c r="H51" s="49"/>
      <c r="I51" s="49"/>
      <c r="J51" s="50"/>
      <c r="K51" s="47"/>
    </row>
    <row r="52" spans="1:11" customFormat="1" x14ac:dyDescent="0.25">
      <c r="A52" s="47"/>
      <c r="B52" s="68"/>
      <c r="C52" s="48"/>
      <c r="D52" s="48"/>
      <c r="E52" s="48"/>
      <c r="F52" s="48"/>
      <c r="G52" s="47"/>
      <c r="H52" s="49"/>
      <c r="I52" s="49"/>
      <c r="J52" s="50"/>
      <c r="K52" s="47"/>
    </row>
    <row r="53" spans="1:11" customFormat="1" x14ac:dyDescent="0.25">
      <c r="A53" s="47"/>
      <c r="B53" s="68"/>
      <c r="C53" s="48"/>
      <c r="D53" s="48"/>
      <c r="E53" s="48"/>
      <c r="F53" s="48"/>
      <c r="G53" s="47"/>
      <c r="H53" s="49"/>
      <c r="I53" s="49"/>
      <c r="J53" s="50"/>
      <c r="K53" s="47"/>
    </row>
    <row r="54" spans="1:11" customFormat="1" ht="15.6" x14ac:dyDescent="0.3">
      <c r="A54" s="47"/>
      <c r="B54" s="2"/>
      <c r="C54" s="69"/>
      <c r="D54" s="69"/>
      <c r="E54" s="69"/>
      <c r="F54" s="69"/>
      <c r="G54" s="47"/>
      <c r="H54" s="49"/>
      <c r="I54" s="49"/>
      <c r="J54" s="50"/>
      <c r="K54" s="47"/>
    </row>
    <row r="55" spans="1:11" customFormat="1" ht="15.6" x14ac:dyDescent="0.3">
      <c r="A55" s="47"/>
      <c r="B55" s="2"/>
      <c r="C55" s="69"/>
      <c r="D55" s="69"/>
      <c r="E55" s="69"/>
      <c r="F55" s="69"/>
      <c r="G55" s="47"/>
      <c r="H55" s="49"/>
      <c r="I55" s="49"/>
      <c r="J55" s="50"/>
      <c r="K55" s="47"/>
    </row>
    <row r="58" spans="1:11" customFormat="1" x14ac:dyDescent="0.25">
      <c r="A58" s="47"/>
      <c r="B58" s="2"/>
      <c r="C58" s="48"/>
      <c r="D58" s="48"/>
      <c r="E58" s="48"/>
      <c r="F58" s="48"/>
      <c r="G58" s="70"/>
      <c r="H58" s="49"/>
      <c r="I58" s="49"/>
      <c r="J58" s="50"/>
      <c r="K58" s="47"/>
    </row>
    <row r="59" spans="1:11" customFormat="1" x14ac:dyDescent="0.25">
      <c r="A59" s="47"/>
      <c r="B59" s="2"/>
      <c r="C59" s="48"/>
      <c r="D59" s="48"/>
      <c r="E59" s="48"/>
      <c r="F59" s="48"/>
      <c r="G59" s="70"/>
      <c r="H59" s="49"/>
      <c r="I59" s="49"/>
      <c r="J59" s="50"/>
      <c r="K59" s="47"/>
    </row>
    <row r="60" spans="1:11" customFormat="1" x14ac:dyDescent="0.25">
      <c r="A60" s="47"/>
      <c r="B60" s="2"/>
      <c r="C60" s="48"/>
      <c r="D60" s="48"/>
      <c r="E60" s="48"/>
      <c r="F60" s="48"/>
      <c r="G60" s="70"/>
      <c r="H60" s="49"/>
      <c r="I60" s="49"/>
      <c r="J60" s="50"/>
      <c r="K60" s="47"/>
    </row>
    <row r="62" spans="1:11" customFormat="1" x14ac:dyDescent="0.25">
      <c r="A62" s="47"/>
      <c r="B62" s="2"/>
      <c r="C62" s="48"/>
      <c r="D62" s="48"/>
      <c r="E62" s="48"/>
      <c r="F62" s="48"/>
      <c r="G62" s="47"/>
      <c r="H62" s="47"/>
      <c r="I62" s="49"/>
      <c r="J62" s="50"/>
      <c r="K62" s="47"/>
    </row>
    <row r="63" spans="1:11" customFormat="1" x14ac:dyDescent="0.25">
      <c r="A63" s="47"/>
      <c r="B63" s="2"/>
      <c r="C63" s="48"/>
      <c r="D63" s="48"/>
      <c r="E63" s="48"/>
      <c r="F63" s="48"/>
      <c r="G63" s="47"/>
      <c r="H63" s="47"/>
      <c r="I63" s="49"/>
      <c r="J63" s="50"/>
      <c r="K63" s="47"/>
    </row>
    <row r="80" spans="1:11" customFormat="1" ht="15.6" x14ac:dyDescent="0.3">
      <c r="A80" s="47"/>
      <c r="B80" s="2"/>
      <c r="C80" s="69"/>
      <c r="D80" s="69"/>
      <c r="E80" s="69"/>
      <c r="F80" s="69"/>
      <c r="G80" s="47"/>
      <c r="H80" s="49"/>
      <c r="I80" s="49"/>
      <c r="J80" s="50"/>
      <c r="K80" s="47"/>
    </row>
    <row r="81" spans="1:11" customFormat="1" ht="15.6" x14ac:dyDescent="0.3">
      <c r="A81" s="47"/>
      <c r="B81" s="2"/>
      <c r="C81" s="69"/>
      <c r="D81" s="69"/>
      <c r="E81" s="69"/>
      <c r="F81" s="69"/>
      <c r="G81" s="47"/>
      <c r="H81" s="49"/>
      <c r="I81" s="49"/>
      <c r="J81" s="50"/>
      <c r="K81" s="47"/>
    </row>
    <row r="82" spans="1:11" customFormat="1" ht="15.6" x14ac:dyDescent="0.3">
      <c r="A82" s="47"/>
      <c r="B82" s="2"/>
      <c r="C82" s="69"/>
      <c r="D82" s="69"/>
      <c r="E82" s="69"/>
      <c r="F82" s="69"/>
      <c r="G82" s="47"/>
      <c r="H82" s="49"/>
      <c r="I82" s="49"/>
      <c r="J82" s="50"/>
      <c r="K82" s="47"/>
    </row>
    <row r="83" spans="1:11" customFormat="1" ht="15.6" x14ac:dyDescent="0.3">
      <c r="A83" s="47"/>
      <c r="B83" s="2"/>
      <c r="C83" s="69"/>
      <c r="D83" s="69"/>
      <c r="E83" s="69"/>
      <c r="F83" s="69"/>
      <c r="G83" s="47"/>
      <c r="H83" s="49"/>
      <c r="I83" s="49"/>
      <c r="J83" s="50"/>
      <c r="K83" s="47"/>
    </row>
    <row r="84" spans="1:11" customFormat="1" ht="15.6" x14ac:dyDescent="0.3">
      <c r="A84" s="47"/>
      <c r="B84" s="2"/>
      <c r="C84" s="69"/>
      <c r="D84" s="69"/>
      <c r="E84" s="69"/>
      <c r="F84" s="69"/>
      <c r="G84" s="47"/>
      <c r="H84" s="49"/>
      <c r="I84" s="49"/>
      <c r="J84" s="50"/>
      <c r="K84" s="47"/>
    </row>
    <row r="85" spans="1:11" customFormat="1" ht="15.6" x14ac:dyDescent="0.3">
      <c r="A85" s="47"/>
      <c r="B85" s="2"/>
      <c r="C85" s="69"/>
      <c r="D85" s="69"/>
      <c r="E85" s="69"/>
      <c r="F85" s="69"/>
      <c r="G85" s="47"/>
      <c r="H85" s="49"/>
      <c r="I85" s="49"/>
      <c r="J85" s="50"/>
      <c r="K85" s="47"/>
    </row>
    <row r="86" spans="1:11" customFormat="1" ht="15.6" x14ac:dyDescent="0.3">
      <c r="A86" s="47"/>
      <c r="B86" s="2"/>
      <c r="C86" s="69"/>
      <c r="D86" s="69"/>
      <c r="E86" s="69"/>
      <c r="F86" s="69"/>
      <c r="G86" s="47"/>
      <c r="H86" s="49"/>
      <c r="I86" s="49"/>
      <c r="J86" s="50"/>
      <c r="K86" s="47"/>
    </row>
    <row r="87" spans="1:11" customFormat="1" ht="15.6" x14ac:dyDescent="0.3">
      <c r="A87" s="47"/>
      <c r="B87" s="2"/>
      <c r="C87" s="69"/>
      <c r="D87" s="69"/>
      <c r="E87" s="69"/>
      <c r="F87" s="69"/>
      <c r="G87" s="47"/>
      <c r="H87" s="49"/>
      <c r="I87" s="49"/>
      <c r="J87" s="50"/>
      <c r="K87" s="47"/>
    </row>
    <row r="90" spans="1:11" customFormat="1" ht="15.6" x14ac:dyDescent="0.3">
      <c r="A90" s="47"/>
      <c r="B90" s="2"/>
      <c r="C90" s="69"/>
      <c r="D90" s="69"/>
      <c r="E90" s="69"/>
      <c r="F90" s="69"/>
      <c r="G90" s="47"/>
      <c r="H90" s="49"/>
      <c r="I90" s="49"/>
      <c r="J90" s="50"/>
      <c r="K90" s="47"/>
    </row>
    <row r="91" spans="1:11" customFormat="1" ht="15.6" x14ac:dyDescent="0.3">
      <c r="A91" s="47"/>
      <c r="B91" s="2"/>
      <c r="C91" s="69"/>
      <c r="D91" s="69"/>
      <c r="E91" s="69"/>
      <c r="F91" s="69"/>
      <c r="G91" s="47"/>
      <c r="H91" s="49"/>
      <c r="I91" s="49"/>
      <c r="J91" s="50"/>
      <c r="K91" s="47"/>
    </row>
    <row r="92" spans="1:11" customFormat="1" ht="15.6" x14ac:dyDescent="0.3">
      <c r="A92" s="47"/>
      <c r="B92" s="2"/>
      <c r="C92" s="69"/>
      <c r="D92" s="69"/>
      <c r="E92" s="69"/>
      <c r="F92" s="69"/>
      <c r="G92" s="47"/>
      <c r="H92" s="49"/>
      <c r="I92" s="49"/>
      <c r="J92" s="50"/>
      <c r="K92" s="47"/>
    </row>
    <row r="93" spans="1:11" customFormat="1" ht="15.6" x14ac:dyDescent="0.3">
      <c r="A93" s="47"/>
      <c r="B93" s="2"/>
      <c r="C93" s="69"/>
      <c r="D93" s="69"/>
      <c r="E93" s="69"/>
      <c r="F93" s="69"/>
      <c r="G93" s="47"/>
      <c r="H93" s="49"/>
      <c r="I93" s="49"/>
      <c r="J93" s="50"/>
      <c r="K93" s="47"/>
    </row>
    <row r="94" spans="1:11" customFormat="1" ht="15.6" x14ac:dyDescent="0.3">
      <c r="A94" s="47"/>
      <c r="B94" s="2"/>
      <c r="C94" s="69"/>
      <c r="D94" s="69"/>
      <c r="E94" s="69"/>
      <c r="F94" s="69"/>
      <c r="G94" s="47"/>
      <c r="H94" s="49"/>
      <c r="I94" s="49"/>
      <c r="J94" s="50"/>
      <c r="K94" s="47"/>
    </row>
    <row r="95" spans="1:11" customFormat="1" ht="15.6" x14ac:dyDescent="0.3">
      <c r="A95" s="47"/>
      <c r="B95" s="2"/>
      <c r="C95" s="69"/>
      <c r="D95" s="69"/>
      <c r="E95" s="69"/>
      <c r="F95" s="69"/>
      <c r="G95" s="47"/>
      <c r="H95" s="49"/>
      <c r="I95" s="49"/>
      <c r="J95" s="50"/>
      <c r="K95" s="47"/>
    </row>
    <row r="96" spans="1:11" customFormat="1" ht="15.6" x14ac:dyDescent="0.3">
      <c r="A96" s="47"/>
      <c r="B96" s="2"/>
      <c r="C96" s="69"/>
      <c r="D96" s="69"/>
      <c r="E96" s="69"/>
      <c r="F96" s="69"/>
      <c r="G96" s="47"/>
      <c r="H96" s="49"/>
      <c r="I96" s="49"/>
      <c r="J96" s="50"/>
      <c r="K96" s="47"/>
    </row>
    <row r="98" spans="1:11" customFormat="1" ht="15.6" x14ac:dyDescent="0.3">
      <c r="A98" s="47"/>
      <c r="B98" s="2"/>
      <c r="C98" s="69"/>
      <c r="D98" s="69"/>
      <c r="E98" s="69"/>
      <c r="F98" s="69"/>
      <c r="G98" s="47"/>
      <c r="H98" s="49"/>
      <c r="I98" s="49"/>
      <c r="J98" s="50"/>
      <c r="K98" s="47"/>
    </row>
    <row r="99" spans="1:11" customFormat="1" ht="15.6" x14ac:dyDescent="0.3">
      <c r="A99" s="47"/>
      <c r="B99" s="2"/>
      <c r="C99" s="69"/>
      <c r="D99" s="69"/>
      <c r="E99" s="69"/>
      <c r="F99" s="69"/>
      <c r="G99" s="47"/>
      <c r="H99" s="49"/>
      <c r="I99" s="49"/>
      <c r="J99" s="50"/>
      <c r="K99" s="47"/>
    </row>
    <row r="100" spans="1:11" customFormat="1" ht="15.6" x14ac:dyDescent="0.3">
      <c r="A100" s="47"/>
      <c r="B100" s="2"/>
      <c r="C100" s="69"/>
      <c r="D100" s="69"/>
      <c r="E100" s="69"/>
      <c r="F100" s="69"/>
      <c r="G100" s="47"/>
      <c r="H100" s="49"/>
      <c r="I100" s="49"/>
      <c r="J100" s="50"/>
      <c r="K100" s="47"/>
    </row>
    <row r="101" spans="1:11" customFormat="1" ht="15.6" x14ac:dyDescent="0.3">
      <c r="A101" s="47"/>
      <c r="B101" s="2"/>
      <c r="C101" s="69"/>
      <c r="D101" s="69"/>
      <c r="E101" s="69"/>
      <c r="F101" s="69"/>
      <c r="G101" s="47"/>
      <c r="H101" s="49"/>
      <c r="I101" s="49"/>
      <c r="J101" s="50"/>
      <c r="K101" s="47"/>
    </row>
    <row r="102" spans="1:11" customFormat="1" ht="15.6" x14ac:dyDescent="0.3">
      <c r="A102" s="47"/>
      <c r="B102" s="2"/>
      <c r="C102" s="69"/>
      <c r="D102" s="69"/>
      <c r="E102" s="69"/>
      <c r="F102" s="69"/>
      <c r="G102" s="47"/>
      <c r="H102" s="49"/>
      <c r="I102" s="49"/>
      <c r="J102" s="50"/>
      <c r="K102" s="47"/>
    </row>
    <row r="103" spans="1:11" customFormat="1" ht="15.6" x14ac:dyDescent="0.3">
      <c r="A103" s="47"/>
      <c r="B103" s="2"/>
      <c r="C103" s="69"/>
      <c r="D103" s="69"/>
      <c r="E103" s="69"/>
      <c r="F103" s="69"/>
      <c r="G103" s="47"/>
      <c r="H103" s="49"/>
      <c r="I103" s="49"/>
      <c r="J103" s="50"/>
      <c r="K103" s="47"/>
    </row>
    <row r="104" spans="1:11" customFormat="1" ht="15.6" x14ac:dyDescent="0.3">
      <c r="A104" s="47"/>
      <c r="B104" s="2"/>
      <c r="C104" s="69"/>
      <c r="D104" s="69"/>
      <c r="E104" s="69"/>
      <c r="F104" s="69"/>
      <c r="G104" s="47"/>
      <c r="H104" s="49"/>
      <c r="I104" s="49"/>
      <c r="J104" s="50"/>
      <c r="K104" s="47"/>
    </row>
    <row r="105" spans="1:11" customFormat="1" ht="15.6" x14ac:dyDescent="0.3">
      <c r="A105" s="47"/>
      <c r="B105" s="2"/>
      <c r="C105" s="69"/>
      <c r="D105" s="69"/>
      <c r="E105" s="69"/>
      <c r="F105" s="69"/>
      <c r="G105" s="47"/>
      <c r="H105" s="49"/>
      <c r="I105" s="49"/>
      <c r="J105" s="50"/>
      <c r="K105" s="47"/>
    </row>
    <row r="106" spans="1:11" customFormat="1" ht="15.6" x14ac:dyDescent="0.3">
      <c r="A106" s="47"/>
      <c r="B106" s="2"/>
      <c r="C106" s="69"/>
      <c r="D106" s="69"/>
      <c r="E106" s="69"/>
      <c r="F106" s="69"/>
      <c r="G106" s="47"/>
      <c r="H106" s="49"/>
      <c r="I106" s="49"/>
      <c r="J106" s="50"/>
      <c r="K106" s="47"/>
    </row>
    <row r="107" spans="1:11" customFormat="1" ht="15.6" x14ac:dyDescent="0.3">
      <c r="A107" s="47"/>
      <c r="B107" s="2"/>
      <c r="C107" s="69"/>
      <c r="D107" s="69"/>
      <c r="E107" s="69"/>
      <c r="F107" s="69"/>
      <c r="G107" s="47"/>
      <c r="H107" s="49"/>
      <c r="I107" s="49"/>
      <c r="J107" s="50"/>
      <c r="K107" s="47"/>
    </row>
    <row r="108" spans="1:11" customFormat="1" ht="15.6" x14ac:dyDescent="0.3">
      <c r="A108" s="47"/>
      <c r="B108" s="2"/>
      <c r="C108" s="69"/>
      <c r="D108" s="69"/>
      <c r="E108" s="69"/>
      <c r="F108" s="69"/>
      <c r="G108" s="47"/>
      <c r="H108" s="49"/>
      <c r="I108" s="49"/>
      <c r="J108" s="50"/>
      <c r="K108" s="47"/>
    </row>
    <row r="109" spans="1:11" customFormat="1" ht="15.6" x14ac:dyDescent="0.3">
      <c r="A109" s="47"/>
      <c r="B109" s="2"/>
      <c r="C109" s="69"/>
      <c r="D109" s="69"/>
      <c r="E109" s="69"/>
      <c r="F109" s="69"/>
      <c r="G109" s="47"/>
      <c r="H109" s="49"/>
      <c r="I109" s="49"/>
      <c r="J109" s="50"/>
      <c r="K109" s="47"/>
    </row>
    <row r="110" spans="1:11" customFormat="1" ht="15.6" x14ac:dyDescent="0.3">
      <c r="A110" s="47"/>
      <c r="B110" s="2"/>
      <c r="C110" s="69"/>
      <c r="D110" s="69"/>
      <c r="E110" s="69"/>
      <c r="F110" s="69"/>
      <c r="G110" s="47"/>
      <c r="H110" s="49"/>
      <c r="I110" s="49"/>
      <c r="J110" s="50"/>
      <c r="K110" s="47"/>
    </row>
    <row r="111" spans="1:11" customFormat="1" ht="15.6" x14ac:dyDescent="0.3">
      <c r="A111" s="47"/>
      <c r="B111" s="2"/>
      <c r="C111" s="69"/>
      <c r="D111" s="69"/>
      <c r="E111" s="69"/>
      <c r="F111" s="69"/>
      <c r="G111" s="47"/>
      <c r="H111" s="49"/>
      <c r="I111" s="49"/>
      <c r="J111" s="50"/>
      <c r="K111" s="47"/>
    </row>
    <row r="112" spans="1:11" customFormat="1" ht="15.6" x14ac:dyDescent="0.3">
      <c r="A112" s="47"/>
      <c r="B112" s="2"/>
      <c r="C112" s="69"/>
      <c r="D112" s="69"/>
      <c r="E112" s="69"/>
      <c r="F112" s="69"/>
      <c r="G112" s="47"/>
      <c r="H112" s="49"/>
      <c r="I112" s="49"/>
      <c r="J112" s="50"/>
      <c r="K112" s="47"/>
    </row>
    <row r="113" spans="1:11" customFormat="1" ht="15.6" x14ac:dyDescent="0.3">
      <c r="A113" s="47"/>
      <c r="B113" s="2"/>
      <c r="C113" s="69"/>
      <c r="D113" s="69"/>
      <c r="E113" s="69"/>
      <c r="F113" s="69"/>
      <c r="G113" s="47"/>
      <c r="H113" s="49"/>
      <c r="I113" s="49"/>
      <c r="J113" s="50"/>
      <c r="K113" s="47"/>
    </row>
    <row r="114" spans="1:11" customFormat="1" ht="15.6" x14ac:dyDescent="0.3">
      <c r="A114" s="71"/>
      <c r="B114" s="2"/>
      <c r="C114" s="69"/>
      <c r="D114" s="69"/>
      <c r="E114" s="69"/>
      <c r="F114" s="69"/>
      <c r="G114" s="47"/>
      <c r="H114" s="49"/>
      <c r="I114" s="49"/>
      <c r="J114" s="50"/>
      <c r="K114" s="47"/>
    </row>
    <row r="115" spans="1:11" customFormat="1" ht="15.6" x14ac:dyDescent="0.3">
      <c r="A115" s="47"/>
      <c r="B115" s="2"/>
      <c r="C115" s="69"/>
      <c r="D115" s="69"/>
      <c r="E115" s="69"/>
      <c r="F115" s="69"/>
      <c r="G115" s="47"/>
      <c r="H115" s="49"/>
      <c r="I115" s="49"/>
      <c r="J115" s="50"/>
      <c r="K115" s="47"/>
    </row>
    <row r="116" spans="1:11" customFormat="1" ht="15.6" x14ac:dyDescent="0.3">
      <c r="A116" s="47"/>
      <c r="B116" s="2"/>
      <c r="C116" s="69"/>
      <c r="D116" s="69"/>
      <c r="E116" s="69"/>
      <c r="F116" s="69"/>
      <c r="G116" s="47"/>
      <c r="H116" s="49"/>
      <c r="I116" s="49"/>
      <c r="J116" s="50"/>
      <c r="K116" s="47"/>
    </row>
    <row r="117" spans="1:11" customFormat="1" ht="15.6" x14ac:dyDescent="0.3">
      <c r="A117" s="47"/>
      <c r="B117" s="2"/>
      <c r="C117" s="69"/>
      <c r="D117" s="69"/>
      <c r="E117" s="69"/>
      <c r="F117" s="69"/>
      <c r="G117" s="47"/>
      <c r="H117" s="49"/>
      <c r="I117" s="49"/>
      <c r="J117" s="50"/>
      <c r="K117" s="47"/>
    </row>
    <row r="118" spans="1:11" customFormat="1" ht="15.6" x14ac:dyDescent="0.3">
      <c r="A118" s="47"/>
      <c r="B118" s="2"/>
      <c r="C118" s="69"/>
      <c r="D118" s="69"/>
      <c r="E118" s="69"/>
      <c r="F118" s="69"/>
      <c r="G118" s="47"/>
      <c r="H118" s="49"/>
      <c r="I118" s="49"/>
      <c r="J118" s="50"/>
      <c r="K118" s="47"/>
    </row>
    <row r="119" spans="1:11" customFormat="1" ht="15.6" x14ac:dyDescent="0.3">
      <c r="A119" s="47"/>
      <c r="B119" s="2"/>
      <c r="C119" s="69"/>
      <c r="D119" s="69"/>
      <c r="E119" s="69"/>
      <c r="F119" s="69"/>
      <c r="G119" s="47"/>
      <c r="H119" s="49"/>
      <c r="I119" s="49"/>
      <c r="J119" s="50"/>
      <c r="K119" s="47"/>
    </row>
    <row r="120" spans="1:11" customFormat="1" ht="15.6" x14ac:dyDescent="0.3">
      <c r="A120" s="47"/>
      <c r="B120" s="2"/>
      <c r="C120" s="69"/>
      <c r="D120" s="69"/>
      <c r="E120" s="69"/>
      <c r="F120" s="69"/>
      <c r="G120" s="47"/>
      <c r="H120" s="49"/>
      <c r="I120" s="49"/>
      <c r="J120" s="50"/>
      <c r="K120" s="47"/>
    </row>
    <row r="121" spans="1:11" customFormat="1" ht="15.6" x14ac:dyDescent="0.3">
      <c r="A121" s="47"/>
      <c r="B121" s="2"/>
      <c r="C121" s="69"/>
      <c r="D121" s="69"/>
      <c r="E121" s="69"/>
      <c r="F121" s="69"/>
      <c r="G121" s="47"/>
      <c r="H121" s="49"/>
      <c r="I121" s="49"/>
      <c r="J121" s="50"/>
      <c r="K121" s="47"/>
    </row>
    <row r="122" spans="1:11" customFormat="1" ht="15.6" x14ac:dyDescent="0.3">
      <c r="A122" s="47"/>
      <c r="B122" s="2"/>
      <c r="C122" s="69"/>
      <c r="D122" s="69"/>
      <c r="E122" s="69"/>
      <c r="F122" s="69"/>
      <c r="G122" s="47"/>
      <c r="H122" s="49"/>
      <c r="I122" s="49"/>
      <c r="J122" s="50"/>
      <c r="K122" s="47"/>
    </row>
    <row r="123" spans="1:11" customFormat="1" ht="15.6" x14ac:dyDescent="0.3">
      <c r="A123" s="47"/>
      <c r="B123" s="2"/>
      <c r="C123" s="69"/>
      <c r="D123" s="69"/>
      <c r="E123" s="69"/>
      <c r="F123" s="69"/>
      <c r="G123" s="47"/>
      <c r="H123" s="49"/>
      <c r="I123" s="49"/>
      <c r="J123" s="50"/>
      <c r="K123" s="47"/>
    </row>
    <row r="124" spans="1:11" customFormat="1" ht="15.6" x14ac:dyDescent="0.3">
      <c r="A124" s="47"/>
      <c r="B124" s="2"/>
      <c r="C124" s="69"/>
      <c r="D124" s="69"/>
      <c r="E124" s="69"/>
      <c r="F124" s="69"/>
      <c r="G124" s="47"/>
      <c r="H124" s="49"/>
      <c r="I124" s="49"/>
      <c r="J124" s="50"/>
      <c r="K124" s="47"/>
    </row>
    <row r="125" spans="1:11" customFormat="1" ht="15.6" x14ac:dyDescent="0.3">
      <c r="A125" s="47"/>
      <c r="B125" s="2"/>
      <c r="C125" s="69"/>
      <c r="D125" s="69"/>
      <c r="E125" s="69"/>
      <c r="F125" s="69"/>
      <c r="G125" s="47"/>
      <c r="H125" s="49"/>
      <c r="I125" s="49"/>
      <c r="J125" s="50"/>
      <c r="K125" s="47"/>
    </row>
    <row r="130" spans="1:11" customFormat="1" ht="15.6" x14ac:dyDescent="0.3">
      <c r="A130" s="47"/>
      <c r="B130" s="2"/>
      <c r="C130" s="69"/>
      <c r="D130" s="69"/>
      <c r="E130" s="69"/>
      <c r="F130" s="69"/>
      <c r="G130" s="47"/>
      <c r="H130" s="49"/>
      <c r="I130" s="49"/>
      <c r="J130" s="50"/>
      <c r="K130" s="47"/>
    </row>
    <row r="131" spans="1:11" customFormat="1" ht="15.6" x14ac:dyDescent="0.3">
      <c r="A131" s="47"/>
      <c r="B131" s="2"/>
      <c r="C131" s="69"/>
      <c r="D131" s="69"/>
      <c r="E131" s="69"/>
      <c r="F131" s="69"/>
      <c r="G131" s="47"/>
      <c r="H131" s="49"/>
      <c r="I131" s="49"/>
      <c r="J131" s="50"/>
      <c r="K131" s="47"/>
    </row>
    <row r="132" spans="1:11" customFormat="1" ht="15.6" x14ac:dyDescent="0.3">
      <c r="A132" s="47"/>
      <c r="B132" s="2"/>
      <c r="C132" s="69"/>
      <c r="D132" s="69"/>
      <c r="E132" s="69"/>
      <c r="F132" s="69"/>
      <c r="G132" s="47"/>
      <c r="H132" s="49"/>
      <c r="I132" s="49"/>
      <c r="J132" s="50"/>
      <c r="K132" s="47"/>
    </row>
    <row r="133" spans="1:11" customFormat="1" ht="15.6" x14ac:dyDescent="0.3">
      <c r="A133" s="47"/>
      <c r="B133" s="2"/>
      <c r="C133" s="69"/>
      <c r="D133" s="69"/>
      <c r="E133" s="69"/>
      <c r="F133" s="69"/>
      <c r="G133" s="47"/>
      <c r="H133" s="49"/>
      <c r="I133" s="49"/>
      <c r="J133" s="50"/>
      <c r="K133" s="47"/>
    </row>
    <row r="134" spans="1:11" customFormat="1" ht="15.6" x14ac:dyDescent="0.3">
      <c r="A134" s="47"/>
      <c r="B134" s="2"/>
      <c r="C134" s="69"/>
      <c r="D134" s="69"/>
      <c r="E134" s="69"/>
      <c r="F134" s="69"/>
      <c r="G134" s="47"/>
      <c r="H134" s="49"/>
      <c r="I134" s="49"/>
      <c r="J134" s="50"/>
      <c r="K134" s="47"/>
    </row>
    <row r="135" spans="1:11" customFormat="1" ht="15.6" x14ac:dyDescent="0.3">
      <c r="A135" s="47"/>
      <c r="B135" s="2"/>
      <c r="C135" s="69"/>
      <c r="D135" s="69"/>
      <c r="E135" s="69"/>
      <c r="F135" s="69"/>
      <c r="G135" s="47"/>
      <c r="H135" s="49"/>
      <c r="I135" s="49"/>
      <c r="J135" s="50"/>
      <c r="K135" s="47"/>
    </row>
    <row r="136" spans="1:11" customFormat="1" ht="15.6" x14ac:dyDescent="0.3">
      <c r="A136" s="47"/>
      <c r="B136" s="2"/>
      <c r="C136" s="69"/>
      <c r="D136" s="69"/>
      <c r="E136" s="69"/>
      <c r="F136" s="69"/>
      <c r="G136" s="47"/>
      <c r="H136" s="49"/>
      <c r="I136" s="49"/>
      <c r="J136" s="50"/>
      <c r="K136" s="47"/>
    </row>
    <row r="137" spans="1:11" customFormat="1" ht="15.6" x14ac:dyDescent="0.3">
      <c r="A137" s="47"/>
      <c r="B137" s="2"/>
      <c r="C137" s="69"/>
      <c r="D137" s="69"/>
      <c r="E137" s="69"/>
      <c r="F137" s="69"/>
      <c r="G137" s="47"/>
      <c r="H137" s="49"/>
      <c r="I137" s="49"/>
      <c r="J137" s="50"/>
      <c r="K137" s="47"/>
    </row>
    <row r="138" spans="1:11" customFormat="1" ht="15.6" x14ac:dyDescent="0.3">
      <c r="A138" s="47"/>
      <c r="B138" s="2"/>
      <c r="C138" s="69"/>
      <c r="D138" s="69"/>
      <c r="E138" s="69"/>
      <c r="F138" s="69"/>
      <c r="G138" s="47"/>
      <c r="H138" s="49"/>
      <c r="I138" s="49"/>
      <c r="J138" s="50"/>
      <c r="K138" s="47"/>
    </row>
    <row r="139" spans="1:11" customFormat="1" ht="15.6" x14ac:dyDescent="0.3">
      <c r="A139" s="47"/>
      <c r="B139" s="2"/>
      <c r="C139" s="69"/>
      <c r="D139" s="69"/>
      <c r="E139" s="69"/>
      <c r="F139" s="69"/>
      <c r="G139" s="47"/>
      <c r="H139" s="49"/>
      <c r="I139" s="49"/>
      <c r="J139" s="50"/>
      <c r="K139" s="47"/>
    </row>
    <row r="140" spans="1:11" customFormat="1" ht="15.6" x14ac:dyDescent="0.3">
      <c r="A140" s="47"/>
      <c r="B140" s="2"/>
      <c r="C140" s="69"/>
      <c r="D140" s="69"/>
      <c r="E140" s="69"/>
      <c r="F140" s="69"/>
      <c r="G140" s="47"/>
      <c r="H140" s="49"/>
      <c r="I140" s="49"/>
      <c r="J140" s="50"/>
      <c r="K140" s="47"/>
    </row>
    <row r="141" spans="1:11" customFormat="1" ht="14.4" x14ac:dyDescent="0.3">
      <c r="A141" s="47"/>
      <c r="B141" s="72"/>
      <c r="C141" s="73"/>
      <c r="D141" s="73"/>
      <c r="E141" s="73"/>
      <c r="F141" s="73"/>
      <c r="G141" s="47"/>
      <c r="H141" s="49"/>
      <c r="I141" s="49"/>
      <c r="J141" s="50"/>
    </row>
    <row r="142" spans="1:11" customFormat="1" ht="15.6" x14ac:dyDescent="0.3">
      <c r="A142" s="47"/>
      <c r="B142" s="2"/>
      <c r="C142" s="69"/>
      <c r="D142" s="69"/>
      <c r="E142" s="69"/>
      <c r="F142" s="69"/>
      <c r="G142" s="47"/>
      <c r="H142" s="74"/>
      <c r="I142" s="49"/>
      <c r="J142" s="50"/>
      <c r="K142" s="47"/>
    </row>
    <row r="143" spans="1:11" customFormat="1" x14ac:dyDescent="0.25">
      <c r="A143" s="47"/>
      <c r="B143" s="2"/>
      <c r="C143" s="48"/>
      <c r="D143" s="48"/>
      <c r="E143" s="48"/>
      <c r="F143" s="48"/>
      <c r="G143" s="47"/>
      <c r="H143" s="74"/>
      <c r="I143" s="49"/>
      <c r="J143" s="50"/>
      <c r="K143" s="47"/>
    </row>
    <row r="144" spans="1:11" customFormat="1" x14ac:dyDescent="0.25">
      <c r="A144" s="47"/>
      <c r="B144" s="2"/>
      <c r="C144" s="48"/>
      <c r="D144" s="48"/>
      <c r="E144" s="48"/>
      <c r="F144" s="48"/>
      <c r="G144" s="47"/>
      <c r="H144" s="75"/>
      <c r="I144" s="49"/>
      <c r="J144" s="50"/>
      <c r="K144" s="47"/>
    </row>
    <row r="145" spans="1:11" customFormat="1" ht="15.6" x14ac:dyDescent="0.3">
      <c r="A145" s="47"/>
      <c r="B145" s="2"/>
      <c r="C145" s="69"/>
      <c r="D145" s="69"/>
      <c r="E145" s="69"/>
      <c r="F145" s="69"/>
      <c r="G145" s="47"/>
      <c r="H145" s="74"/>
      <c r="I145" s="49"/>
      <c r="J145" s="50"/>
      <c r="K145" s="47"/>
    </row>
    <row r="146" spans="1:11" customFormat="1" ht="15.6" x14ac:dyDescent="0.3">
      <c r="A146" s="47"/>
      <c r="B146" s="2"/>
      <c r="C146" s="69"/>
      <c r="D146" s="69"/>
      <c r="E146" s="69"/>
      <c r="F146" s="69"/>
      <c r="G146" s="47"/>
      <c r="H146" s="74"/>
      <c r="I146" s="49"/>
      <c r="J146" s="50"/>
      <c r="K146" s="47"/>
    </row>
    <row r="147" spans="1:11" customFormat="1" ht="14.4" x14ac:dyDescent="0.3">
      <c r="A147" s="76"/>
      <c r="B147" s="2"/>
      <c r="C147" s="48"/>
      <c r="D147" s="48"/>
      <c r="E147" s="48"/>
      <c r="F147" s="48"/>
      <c r="G147" s="77"/>
      <c r="H147" s="78"/>
      <c r="I147" s="49"/>
      <c r="J147" s="50"/>
      <c r="K147" s="47"/>
    </row>
    <row r="148" spans="1:11" customFormat="1" ht="14.4" x14ac:dyDescent="0.3">
      <c r="A148" s="76"/>
      <c r="B148" s="2"/>
      <c r="C148" s="48"/>
      <c r="D148" s="48"/>
      <c r="E148" s="48"/>
      <c r="F148" s="48"/>
      <c r="G148" s="77"/>
      <c r="H148" s="78"/>
      <c r="I148" s="49"/>
      <c r="J148" s="50"/>
      <c r="K148" s="47"/>
    </row>
    <row r="149" spans="1:11" customFormat="1" ht="14.4" x14ac:dyDescent="0.3">
      <c r="A149" s="76"/>
      <c r="B149" s="2"/>
      <c r="C149" s="48"/>
      <c r="D149" s="48"/>
      <c r="E149" s="48"/>
      <c r="F149" s="48"/>
      <c r="G149" s="47"/>
      <c r="H149" s="78"/>
      <c r="I149" s="49"/>
      <c r="J149" s="50"/>
      <c r="K149" s="47"/>
    </row>
    <row r="150" spans="1:11" customFormat="1" ht="14.4" x14ac:dyDescent="0.3">
      <c r="A150" s="76"/>
      <c r="B150" s="2"/>
      <c r="C150" s="48"/>
      <c r="D150" s="48"/>
      <c r="E150" s="48"/>
      <c r="F150" s="48"/>
      <c r="G150" s="47"/>
      <c r="H150" s="78"/>
      <c r="I150" s="49"/>
      <c r="J150" s="50"/>
      <c r="K150" s="47"/>
    </row>
    <row r="151" spans="1:11" customFormat="1" ht="15.6" x14ac:dyDescent="0.3">
      <c r="A151" s="76"/>
      <c r="B151" s="2"/>
      <c r="C151" s="79"/>
      <c r="D151" s="79"/>
      <c r="E151" s="79"/>
      <c r="F151" s="79"/>
      <c r="G151" s="77"/>
      <c r="H151" s="78"/>
      <c r="I151" s="49"/>
      <c r="J151" s="50"/>
      <c r="K151" s="47"/>
    </row>
    <row r="152" spans="1:11" customFormat="1" x14ac:dyDescent="0.25">
      <c r="A152" s="47"/>
      <c r="B152" s="2"/>
      <c r="C152" s="48"/>
      <c r="D152" s="48"/>
      <c r="E152" s="48"/>
      <c r="F152" s="48"/>
      <c r="G152" s="47"/>
      <c r="H152" s="74"/>
      <c r="I152" s="49"/>
      <c r="J152" s="50"/>
      <c r="K152" s="47"/>
    </row>
    <row r="153" spans="1:11" customFormat="1" x14ac:dyDescent="0.25">
      <c r="A153" s="47"/>
      <c r="B153" s="2"/>
      <c r="C153" s="48"/>
      <c r="D153" s="48"/>
      <c r="E153" s="48"/>
      <c r="F153" s="48"/>
      <c r="G153" s="47"/>
      <c r="H153" s="74"/>
      <c r="I153" s="49"/>
      <c r="J153" s="49"/>
      <c r="K153" s="47"/>
    </row>
    <row r="154" spans="1:11" customFormat="1" x14ac:dyDescent="0.25">
      <c r="A154" s="47"/>
      <c r="B154" s="2"/>
      <c r="C154" s="48"/>
      <c r="D154" s="48"/>
      <c r="E154" s="48"/>
      <c r="F154" s="48"/>
      <c r="G154" s="47"/>
      <c r="H154" s="74"/>
      <c r="I154" s="49"/>
      <c r="J154" s="49"/>
      <c r="K154" s="47"/>
    </row>
    <row r="155" spans="1:11" customFormat="1" x14ac:dyDescent="0.25">
      <c r="A155" s="47"/>
      <c r="B155" s="2"/>
      <c r="C155" s="48"/>
      <c r="D155" s="48"/>
      <c r="E155" s="48"/>
      <c r="F155" s="48"/>
      <c r="G155" s="47"/>
      <c r="H155" s="74"/>
      <c r="I155" s="49"/>
      <c r="J155" s="50"/>
      <c r="K155" s="47"/>
    </row>
    <row r="156" spans="1:11" customFormat="1" x14ac:dyDescent="0.25">
      <c r="A156" s="47"/>
      <c r="B156" s="2"/>
      <c r="C156" s="48"/>
      <c r="D156" s="48"/>
      <c r="E156" s="48"/>
      <c r="F156" s="48"/>
      <c r="G156" s="47"/>
      <c r="H156" s="74"/>
      <c r="I156" s="49"/>
      <c r="J156" s="50"/>
      <c r="K156" s="47"/>
    </row>
    <row r="157" spans="1:11" customFormat="1" x14ac:dyDescent="0.25">
      <c r="A157" s="47"/>
      <c r="B157" s="2"/>
      <c r="C157" s="48"/>
      <c r="D157" s="48"/>
      <c r="E157" s="48"/>
      <c r="F157" s="48"/>
      <c r="G157" s="47"/>
      <c r="H157" s="74"/>
      <c r="I157" s="49"/>
      <c r="J157" s="50"/>
      <c r="K157" s="47"/>
    </row>
    <row r="158" spans="1:11" customFormat="1" x14ac:dyDescent="0.25">
      <c r="A158" s="47"/>
      <c r="B158" s="2"/>
      <c r="C158" s="48"/>
      <c r="D158" s="48"/>
      <c r="E158" s="48"/>
      <c r="F158" s="48"/>
      <c r="G158" s="47"/>
      <c r="H158" s="74"/>
      <c r="I158" s="49"/>
      <c r="J158" s="50"/>
      <c r="K158" s="47"/>
    </row>
    <row r="159" spans="1:11" customFormat="1" x14ac:dyDescent="0.25">
      <c r="A159" s="47"/>
      <c r="B159" s="2"/>
      <c r="C159" s="48"/>
      <c r="D159" s="48"/>
      <c r="E159" s="48"/>
      <c r="F159" s="48"/>
      <c r="G159" s="47"/>
      <c r="H159" s="74"/>
      <c r="I159" s="49"/>
      <c r="J159" s="50"/>
      <c r="K159" s="47"/>
    </row>
    <row r="160" spans="1:11" customFormat="1" ht="14.4" x14ac:dyDescent="0.3">
      <c r="A160" s="47"/>
      <c r="B160" s="80"/>
      <c r="C160" s="81"/>
      <c r="D160" s="81"/>
      <c r="E160" s="81"/>
      <c r="F160" s="81"/>
      <c r="G160" s="77"/>
      <c r="H160" s="78"/>
      <c r="I160" s="82"/>
      <c r="J160" s="50"/>
      <c r="K160" s="47"/>
    </row>
    <row r="161" spans="1:11" customFormat="1" ht="14.4" x14ac:dyDescent="0.3">
      <c r="A161" s="47"/>
      <c r="B161" s="80"/>
      <c r="C161" s="81"/>
      <c r="D161" s="81"/>
      <c r="E161" s="81"/>
      <c r="F161" s="81"/>
      <c r="G161" s="77"/>
      <c r="H161" s="78"/>
      <c r="I161" s="47"/>
      <c r="J161" s="50"/>
      <c r="K161" s="47"/>
    </row>
    <row r="162" spans="1:11" customFormat="1" ht="14.4" x14ac:dyDescent="0.3">
      <c r="A162" s="47"/>
      <c r="B162" s="80"/>
      <c r="C162" s="83"/>
      <c r="D162" s="83"/>
      <c r="E162" s="83"/>
      <c r="F162" s="83"/>
      <c r="G162" s="77"/>
      <c r="H162" s="84"/>
      <c r="I162" s="84"/>
      <c r="J162" s="50"/>
      <c r="K162" s="47"/>
    </row>
    <row r="163" spans="1:11" customFormat="1" ht="14.4" x14ac:dyDescent="0.3">
      <c r="A163" s="47"/>
      <c r="B163" s="80"/>
      <c r="C163" s="83"/>
      <c r="D163" s="83"/>
      <c r="E163" s="83"/>
      <c r="F163" s="83"/>
      <c r="G163" s="77"/>
      <c r="H163" s="84"/>
      <c r="I163" s="84"/>
      <c r="J163" s="50"/>
      <c r="K163" s="47"/>
    </row>
    <row r="164" spans="1:11" customFormat="1" ht="14.4" x14ac:dyDescent="0.3">
      <c r="A164" s="47"/>
      <c r="B164" s="80"/>
      <c r="C164" s="81"/>
      <c r="D164" s="81"/>
      <c r="E164" s="81"/>
      <c r="F164" s="81"/>
      <c r="G164" s="77"/>
      <c r="H164" s="84"/>
      <c r="I164" s="84"/>
      <c r="J164" s="50"/>
      <c r="K164" s="47"/>
    </row>
    <row r="165" spans="1:11" customFormat="1" ht="14.4" x14ac:dyDescent="0.3">
      <c r="A165" s="47"/>
      <c r="B165" s="80"/>
      <c r="C165" s="81"/>
      <c r="D165" s="81"/>
      <c r="E165" s="81"/>
      <c r="F165" s="81"/>
      <c r="G165" s="77"/>
      <c r="H165" s="84"/>
      <c r="I165" s="84"/>
      <c r="J165" s="50"/>
      <c r="K165" s="47"/>
    </row>
    <row r="166" spans="1:11" customFormat="1" ht="14.4" x14ac:dyDescent="0.3">
      <c r="A166" s="47"/>
      <c r="B166" s="80"/>
      <c r="C166" s="81"/>
      <c r="D166" s="81"/>
      <c r="E166" s="81"/>
      <c r="F166" s="81"/>
      <c r="G166" s="77"/>
      <c r="H166" s="84"/>
      <c r="I166" s="84"/>
      <c r="J166" s="50"/>
      <c r="K166" s="47"/>
    </row>
    <row r="167" spans="1:11" customFormat="1" ht="14.4" x14ac:dyDescent="0.3">
      <c r="A167" s="47"/>
      <c r="B167" s="80"/>
      <c r="C167" s="83"/>
      <c r="D167" s="83"/>
      <c r="E167" s="83"/>
      <c r="F167" s="83"/>
      <c r="G167" s="77"/>
      <c r="H167" s="84"/>
      <c r="I167" s="84"/>
      <c r="J167" s="50"/>
      <c r="K167" s="47"/>
    </row>
    <row r="168" spans="1:11" customFormat="1" ht="14.4" x14ac:dyDescent="0.3">
      <c r="A168" s="47"/>
      <c r="B168" s="80"/>
      <c r="C168" s="83"/>
      <c r="D168" s="83"/>
      <c r="E168" s="83"/>
      <c r="F168" s="83"/>
      <c r="G168" s="77"/>
      <c r="H168" s="84"/>
      <c r="I168" s="84"/>
      <c r="J168" s="50"/>
      <c r="K168" s="47"/>
    </row>
    <row r="169" spans="1:11" s="48" customFormat="1" ht="14.4" x14ac:dyDescent="0.3">
      <c r="B169" s="85"/>
      <c r="C169" s="83"/>
      <c r="D169" s="83"/>
      <c r="E169" s="83"/>
      <c r="F169" s="83"/>
      <c r="G169" s="83"/>
      <c r="H169" s="86"/>
      <c r="I169" s="83"/>
      <c r="J169" s="50"/>
    </row>
    <row r="170" spans="1:11" s="48" customFormat="1" ht="14.4" x14ac:dyDescent="0.3">
      <c r="B170" s="85"/>
      <c r="C170" s="83"/>
      <c r="D170" s="83"/>
      <c r="E170" s="83"/>
      <c r="F170" s="83"/>
      <c r="G170" s="83"/>
      <c r="H170" s="86"/>
      <c r="I170" s="86"/>
      <c r="J170" s="50"/>
    </row>
    <row r="171" spans="1:11" s="48" customFormat="1" ht="14.4" x14ac:dyDescent="0.3">
      <c r="B171" s="85"/>
      <c r="C171" s="83"/>
      <c r="D171" s="83"/>
      <c r="E171" s="83"/>
      <c r="F171" s="83"/>
      <c r="G171" s="83"/>
      <c r="H171" s="86"/>
      <c r="I171" s="86"/>
      <c r="J171" s="50"/>
    </row>
    <row r="172" spans="1:11" s="48" customFormat="1" ht="14.4" x14ac:dyDescent="0.3">
      <c r="B172" s="85"/>
      <c r="C172" s="83"/>
      <c r="D172" s="83"/>
      <c r="E172" s="83"/>
      <c r="F172" s="83"/>
      <c r="G172" s="83"/>
      <c r="H172" s="86"/>
      <c r="I172" s="86"/>
      <c r="J172" s="50"/>
    </row>
    <row r="173" spans="1:11" s="48" customFormat="1" ht="14.4" x14ac:dyDescent="0.3">
      <c r="B173" s="85"/>
      <c r="C173" s="83"/>
      <c r="D173" s="83"/>
      <c r="E173" s="83"/>
      <c r="F173" s="83"/>
      <c r="G173" s="83"/>
      <c r="H173" s="86"/>
      <c r="I173" s="86"/>
      <c r="J173" s="50"/>
    </row>
    <row r="174" spans="1:11" s="48" customFormat="1" ht="14.4" x14ac:dyDescent="0.3">
      <c r="B174" s="85"/>
      <c r="C174" s="83"/>
      <c r="D174" s="83"/>
      <c r="E174" s="83"/>
      <c r="F174" s="83"/>
      <c r="G174" s="83"/>
      <c r="H174" s="86"/>
      <c r="I174" s="86"/>
      <c r="J174" s="50"/>
    </row>
    <row r="175" spans="1:11" s="48" customFormat="1" ht="14.4" x14ac:dyDescent="0.3">
      <c r="B175" s="85"/>
      <c r="C175" s="83"/>
      <c r="D175" s="83"/>
      <c r="E175" s="83"/>
      <c r="F175" s="83"/>
      <c r="G175" s="83"/>
      <c r="H175" s="86"/>
      <c r="I175" s="86"/>
      <c r="J175" s="50"/>
    </row>
    <row r="176" spans="1:11" customFormat="1" ht="14.4" x14ac:dyDescent="0.3">
      <c r="A176" s="47"/>
      <c r="B176" s="80"/>
      <c r="C176" s="83"/>
      <c r="D176" s="83"/>
      <c r="E176" s="83"/>
      <c r="F176" s="83"/>
      <c r="G176" s="77"/>
      <c r="H176" s="84"/>
      <c r="I176" s="84"/>
      <c r="J176" s="50"/>
      <c r="K176" s="47"/>
    </row>
    <row r="177" spans="1:11" customFormat="1" ht="14.4" x14ac:dyDescent="0.3">
      <c r="A177" s="47"/>
      <c r="B177" s="80"/>
      <c r="C177" s="81"/>
      <c r="D177" s="81"/>
      <c r="E177" s="81"/>
      <c r="F177" s="81"/>
      <c r="G177" s="77"/>
      <c r="H177" s="78"/>
      <c r="I177" s="84"/>
      <c r="J177" s="50"/>
      <c r="K177" s="47"/>
    </row>
    <row r="178" spans="1:11" customFormat="1" ht="14.4" x14ac:dyDescent="0.3">
      <c r="A178" s="47"/>
      <c r="B178" s="80"/>
      <c r="C178" s="81"/>
      <c r="D178" s="81"/>
      <c r="E178" s="81"/>
      <c r="F178" s="81"/>
      <c r="G178" s="77"/>
      <c r="H178" s="78"/>
      <c r="I178" s="84"/>
      <c r="J178" s="50"/>
      <c r="K178" s="47"/>
    </row>
    <row r="179" spans="1:11" customFormat="1" ht="14.4" x14ac:dyDescent="0.3">
      <c r="A179" s="47"/>
      <c r="B179" s="80"/>
      <c r="C179" s="83"/>
      <c r="D179" s="83"/>
      <c r="E179" s="83"/>
      <c r="F179" s="83"/>
      <c r="G179" s="77"/>
      <c r="H179" s="84"/>
      <c r="I179" s="84"/>
      <c r="J179" s="50"/>
      <c r="K179" s="47"/>
    </row>
    <row r="180" spans="1:11" customFormat="1" ht="14.4" x14ac:dyDescent="0.3">
      <c r="A180" s="47"/>
      <c r="B180" s="80"/>
      <c r="C180" s="83"/>
      <c r="D180" s="83"/>
      <c r="E180" s="83"/>
      <c r="F180" s="83"/>
      <c r="G180" s="77"/>
      <c r="H180" s="84"/>
      <c r="I180" s="84"/>
      <c r="J180" s="50"/>
      <c r="K180" s="47"/>
    </row>
    <row r="181" spans="1:11" customFormat="1" ht="14.4" x14ac:dyDescent="0.3">
      <c r="A181" s="47"/>
      <c r="B181" s="80"/>
      <c r="C181" s="81"/>
      <c r="D181" s="81"/>
      <c r="E181" s="81"/>
      <c r="F181" s="81"/>
      <c r="G181" s="77"/>
      <c r="H181" s="84"/>
      <c r="I181" s="84"/>
      <c r="J181" s="50"/>
      <c r="K181" s="47"/>
    </row>
    <row r="182" spans="1:11" customFormat="1" ht="14.4" x14ac:dyDescent="0.3">
      <c r="A182" s="47"/>
      <c r="B182" s="80"/>
      <c r="C182" s="81"/>
      <c r="D182" s="81"/>
      <c r="E182" s="81"/>
      <c r="F182" s="81"/>
      <c r="G182" s="77"/>
      <c r="H182" s="84"/>
      <c r="I182" s="84"/>
      <c r="J182" s="50"/>
      <c r="K182" s="47"/>
    </row>
    <row r="183" spans="1:11" customFormat="1" ht="14.4" x14ac:dyDescent="0.3">
      <c r="A183" s="47"/>
      <c r="B183" s="80"/>
      <c r="C183" s="81"/>
      <c r="D183" s="81"/>
      <c r="E183" s="81"/>
      <c r="F183" s="81"/>
      <c r="G183" s="77"/>
      <c r="H183" s="84"/>
      <c r="I183" s="84"/>
      <c r="J183" s="50"/>
      <c r="K183" s="47"/>
    </row>
    <row r="184" spans="1:11" customFormat="1" ht="14.4" x14ac:dyDescent="0.3">
      <c r="A184" s="47"/>
      <c r="B184" s="80"/>
      <c r="C184" s="83"/>
      <c r="D184" s="83"/>
      <c r="E184" s="83"/>
      <c r="F184" s="83"/>
      <c r="G184" s="77"/>
      <c r="H184" s="84"/>
      <c r="I184" s="84"/>
      <c r="J184" s="50"/>
      <c r="K184" s="47"/>
    </row>
    <row r="185" spans="1:11" customFormat="1" ht="14.4" x14ac:dyDescent="0.3">
      <c r="A185" s="47"/>
      <c r="B185" s="80"/>
      <c r="C185" s="83"/>
      <c r="D185" s="83"/>
      <c r="E185" s="83"/>
      <c r="F185" s="83"/>
      <c r="G185" s="77"/>
      <c r="H185" s="84"/>
      <c r="I185" s="84"/>
      <c r="J185" s="50"/>
      <c r="K185" s="47"/>
    </row>
    <row r="186" spans="1:11" s="48" customFormat="1" ht="14.4" x14ac:dyDescent="0.3">
      <c r="B186" s="85"/>
      <c r="C186" s="83"/>
      <c r="D186" s="83"/>
      <c r="E186" s="83"/>
      <c r="F186" s="83"/>
      <c r="G186" s="83"/>
      <c r="H186" s="86"/>
      <c r="I186" s="83"/>
      <c r="J186" s="50"/>
    </row>
    <row r="187" spans="1:11" s="48" customFormat="1" ht="14.4" x14ac:dyDescent="0.3">
      <c r="B187" s="85"/>
      <c r="C187" s="83"/>
      <c r="D187" s="83"/>
      <c r="E187" s="83"/>
      <c r="F187" s="83"/>
      <c r="G187" s="83"/>
      <c r="H187" s="86"/>
      <c r="I187" s="86"/>
      <c r="J187" s="50"/>
    </row>
    <row r="188" spans="1:11" s="48" customFormat="1" ht="14.4" x14ac:dyDescent="0.3">
      <c r="B188" s="85"/>
      <c r="C188" s="83"/>
      <c r="D188" s="83"/>
      <c r="E188" s="83"/>
      <c r="F188" s="83"/>
      <c r="G188" s="83"/>
      <c r="H188" s="86"/>
      <c r="I188" s="86"/>
      <c r="J188" s="50"/>
    </row>
    <row r="189" spans="1:11" s="48" customFormat="1" ht="14.4" x14ac:dyDescent="0.3">
      <c r="B189" s="85"/>
      <c r="C189" s="83"/>
      <c r="D189" s="83"/>
      <c r="E189" s="83"/>
      <c r="F189" s="83"/>
      <c r="G189" s="83"/>
      <c r="H189" s="86"/>
      <c r="I189" s="86"/>
      <c r="J189" s="50"/>
    </row>
    <row r="190" spans="1:11" s="48" customFormat="1" ht="14.4" x14ac:dyDescent="0.3">
      <c r="B190" s="85"/>
      <c r="C190" s="83"/>
      <c r="D190" s="83"/>
      <c r="E190" s="83"/>
      <c r="F190" s="83"/>
      <c r="G190" s="83"/>
      <c r="H190" s="86"/>
      <c r="I190" s="86"/>
      <c r="J190" s="50"/>
    </row>
    <row r="192" spans="1:11" customFormat="1" ht="13.95" customHeight="1" x14ac:dyDescent="0.25">
      <c r="A192" s="47"/>
      <c r="B192" s="2"/>
      <c r="C192" s="48"/>
      <c r="D192" s="48"/>
      <c r="E192" s="48"/>
      <c r="F192" s="48"/>
      <c r="G192" s="47"/>
      <c r="H192" s="49"/>
      <c r="I192" s="49"/>
      <c r="J192" s="50"/>
      <c r="K192" s="47"/>
    </row>
    <row r="193" spans="1:11" customFormat="1" x14ac:dyDescent="0.25">
      <c r="A193" s="47"/>
      <c r="B193" s="2"/>
      <c r="C193" s="48"/>
      <c r="D193" s="48"/>
      <c r="E193" s="48"/>
      <c r="F193" s="48"/>
      <c r="G193" s="48"/>
      <c r="H193" s="49"/>
      <c r="I193" s="49"/>
      <c r="J193" s="50"/>
      <c r="K193" s="47"/>
    </row>
    <row r="256" spans="1:11" customFormat="1" ht="15.6" x14ac:dyDescent="0.3">
      <c r="A256" s="47"/>
      <c r="B256" s="2"/>
      <c r="C256" s="69"/>
      <c r="D256" s="69"/>
      <c r="E256" s="69"/>
      <c r="F256" s="69"/>
      <c r="G256" s="47"/>
      <c r="H256" s="49"/>
      <c r="I256" s="49"/>
      <c r="J256" s="50"/>
      <c r="K256" s="47"/>
    </row>
    <row r="262" spans="1:11" customFormat="1" ht="13.8" x14ac:dyDescent="0.3">
      <c r="A262" s="47"/>
      <c r="B262" s="2"/>
      <c r="C262" s="87"/>
      <c r="D262" s="87"/>
      <c r="E262" s="87"/>
      <c r="F262" s="87"/>
      <c r="G262" s="47"/>
      <c r="H262" s="49"/>
      <c r="I262" s="49"/>
      <c r="J262" s="50"/>
      <c r="K262" s="47"/>
    </row>
    <row r="267" spans="1:11" customFormat="1" ht="13.8" x14ac:dyDescent="0.3">
      <c r="A267" s="47"/>
      <c r="B267" s="2"/>
      <c r="C267" s="87"/>
      <c r="D267" s="87"/>
      <c r="E267" s="87"/>
      <c r="F267" s="87"/>
      <c r="G267" s="47"/>
      <c r="H267" s="49"/>
      <c r="I267" s="49"/>
      <c r="J267" s="50"/>
      <c r="K267" s="47"/>
    </row>
    <row r="268" spans="1:11" customFormat="1" ht="13.8" x14ac:dyDescent="0.3">
      <c r="A268" s="47"/>
      <c r="B268" s="2"/>
      <c r="C268" s="87"/>
      <c r="D268" s="87"/>
      <c r="E268" s="87"/>
      <c r="F268" s="87"/>
      <c r="G268" s="47"/>
      <c r="H268" s="49"/>
      <c r="I268" s="49"/>
      <c r="J268" s="50"/>
      <c r="K268" s="47"/>
    </row>
    <row r="269" spans="1:11" customFormat="1" ht="13.8" x14ac:dyDescent="0.3">
      <c r="A269" s="47"/>
      <c r="B269" s="2"/>
      <c r="C269" s="87"/>
      <c r="D269" s="87"/>
      <c r="E269" s="87"/>
      <c r="F269" s="87"/>
      <c r="G269" s="47"/>
      <c r="H269" s="49"/>
      <c r="I269" s="49"/>
      <c r="J269" s="50"/>
      <c r="K269" s="47"/>
    </row>
    <row r="286" spans="1:11" customFormat="1" ht="15.6" x14ac:dyDescent="0.3">
      <c r="A286" s="47"/>
      <c r="B286" s="2"/>
      <c r="C286" s="69"/>
      <c r="D286" s="69"/>
      <c r="E286" s="69"/>
      <c r="F286" s="69"/>
      <c r="G286" s="47"/>
      <c r="H286" s="49"/>
      <c r="I286" s="49"/>
      <c r="J286" s="50"/>
      <c r="K286" s="47"/>
    </row>
    <row r="288" spans="1:11" customFormat="1" ht="15.6" x14ac:dyDescent="0.3">
      <c r="A288" s="47"/>
      <c r="B288" s="2"/>
      <c r="C288" s="69"/>
      <c r="D288" s="69"/>
      <c r="E288" s="69"/>
      <c r="F288" s="69"/>
      <c r="G288" s="47"/>
      <c r="H288" s="49"/>
      <c r="I288" s="49"/>
      <c r="J288" s="50"/>
      <c r="K288" s="47"/>
    </row>
    <row r="291" spans="1:11" customFormat="1" ht="13.8" x14ac:dyDescent="0.3">
      <c r="A291" s="47"/>
      <c r="B291" s="2"/>
      <c r="C291" s="87"/>
      <c r="D291" s="87"/>
      <c r="E291" s="87"/>
      <c r="F291" s="87"/>
      <c r="G291" s="47"/>
      <c r="H291" s="49"/>
      <c r="I291" s="49"/>
      <c r="J291" s="50"/>
      <c r="K291" s="47"/>
    </row>
    <row r="296" spans="1:11" customFormat="1" ht="13.8" x14ac:dyDescent="0.3">
      <c r="A296" s="47"/>
      <c r="B296" s="2"/>
      <c r="C296" s="87"/>
      <c r="D296" s="87"/>
      <c r="E296" s="87"/>
      <c r="F296" s="87"/>
      <c r="G296" s="47"/>
      <c r="H296" s="49"/>
      <c r="I296" s="49"/>
      <c r="J296" s="50"/>
      <c r="K296" s="47"/>
    </row>
    <row r="297" spans="1:11" customFormat="1" ht="13.8" x14ac:dyDescent="0.3">
      <c r="A297" s="47"/>
      <c r="B297" s="2"/>
      <c r="C297" s="87"/>
      <c r="D297" s="87"/>
      <c r="E297" s="87"/>
      <c r="F297" s="87"/>
      <c r="G297" s="47"/>
      <c r="H297" s="49"/>
      <c r="I297" s="49"/>
      <c r="J297" s="50"/>
      <c r="K297" s="47"/>
    </row>
    <row r="298" spans="1:11" customFormat="1" ht="13.8" x14ac:dyDescent="0.3">
      <c r="A298" s="47"/>
      <c r="B298" s="2"/>
      <c r="C298" s="87"/>
      <c r="D298" s="87"/>
      <c r="E298" s="87"/>
      <c r="F298" s="87"/>
      <c r="G298" s="47"/>
      <c r="H298" s="49"/>
      <c r="I298" s="49"/>
      <c r="J298" s="50"/>
      <c r="K298" s="47"/>
    </row>
    <row r="449" spans="1:11" customFormat="1" x14ac:dyDescent="0.25">
      <c r="A449" s="47"/>
      <c r="B449" s="2"/>
      <c r="C449" s="88"/>
      <c r="D449" s="88"/>
      <c r="E449" s="88"/>
      <c r="F449" s="88"/>
      <c r="G449" s="88"/>
      <c r="H449" s="89"/>
      <c r="I449" s="49"/>
      <c r="J449" s="50"/>
      <c r="K449" s="47"/>
    </row>
    <row r="450" spans="1:11" customFormat="1" x14ac:dyDescent="0.25">
      <c r="A450" s="47"/>
      <c r="B450" s="2"/>
      <c r="C450" s="88"/>
      <c r="D450" s="88"/>
      <c r="E450" s="88"/>
      <c r="F450" s="88"/>
      <c r="G450" s="88"/>
      <c r="H450" s="89"/>
      <c r="I450" s="49"/>
      <c r="J450" s="50"/>
      <c r="K450" s="47"/>
    </row>
    <row r="451" spans="1:11" customFormat="1" x14ac:dyDescent="0.25">
      <c r="A451" s="47"/>
      <c r="B451" s="2"/>
      <c r="C451" s="88"/>
      <c r="D451" s="88"/>
      <c r="E451" s="88"/>
      <c r="F451" s="88"/>
      <c r="G451" s="88"/>
      <c r="H451" s="89"/>
      <c r="I451" s="49"/>
      <c r="J451" s="50"/>
      <c r="K451" s="47"/>
    </row>
    <row r="452" spans="1:11" customFormat="1" x14ac:dyDescent="0.25">
      <c r="A452" s="47"/>
      <c r="B452" s="2"/>
      <c r="C452" s="88"/>
      <c r="D452" s="88"/>
      <c r="E452" s="88"/>
      <c r="F452" s="88"/>
      <c r="G452" s="88"/>
      <c r="H452" s="89"/>
      <c r="I452" s="49"/>
      <c r="J452" s="50"/>
      <c r="K452" s="47"/>
    </row>
    <row r="453" spans="1:11" customFormat="1" x14ac:dyDescent="0.25">
      <c r="A453" s="47"/>
      <c r="B453" s="2"/>
      <c r="C453" s="88"/>
      <c r="D453" s="88"/>
      <c r="E453" s="88"/>
      <c r="F453" s="88"/>
      <c r="G453" s="88"/>
      <c r="H453" s="89"/>
      <c r="I453" s="49"/>
      <c r="J453" s="50"/>
      <c r="K453" s="47"/>
    </row>
    <row r="454" spans="1:11" customFormat="1" x14ac:dyDescent="0.25">
      <c r="A454" s="47"/>
      <c r="B454" s="2"/>
      <c r="C454" s="88"/>
      <c r="D454" s="88"/>
      <c r="E454" s="88"/>
      <c r="F454" s="88"/>
      <c r="G454" s="88"/>
      <c r="H454" s="89"/>
      <c r="I454" s="49"/>
      <c r="J454" s="50"/>
      <c r="K454" s="47"/>
    </row>
    <row r="455" spans="1:11" customFormat="1" x14ac:dyDescent="0.25">
      <c r="A455" s="47"/>
      <c r="B455" s="2"/>
      <c r="C455" s="88"/>
      <c r="D455" s="88"/>
      <c r="E455" s="88"/>
      <c r="F455" s="88"/>
      <c r="G455" s="88"/>
      <c r="H455" s="89"/>
      <c r="I455" s="49"/>
      <c r="J455" s="50"/>
      <c r="K455" s="47"/>
    </row>
    <row r="456" spans="1:11" customFormat="1" x14ac:dyDescent="0.25">
      <c r="A456" s="47"/>
      <c r="B456" s="2"/>
      <c r="C456" s="88"/>
      <c r="D456" s="88"/>
      <c r="E456" s="88"/>
      <c r="F456" s="88"/>
      <c r="G456" s="88"/>
      <c r="H456" s="89"/>
      <c r="I456" s="49"/>
      <c r="J456" s="50"/>
      <c r="K456" s="47"/>
    </row>
    <row r="457" spans="1:11" customFormat="1" x14ac:dyDescent="0.25">
      <c r="A457" s="47"/>
      <c r="B457" s="2"/>
      <c r="C457" s="88"/>
      <c r="D457" s="88"/>
      <c r="E457" s="88"/>
      <c r="F457" s="88"/>
      <c r="G457" s="88"/>
      <c r="H457" s="89"/>
      <c r="I457" s="49"/>
      <c r="J457" s="50"/>
      <c r="K457" s="47"/>
    </row>
    <row r="458" spans="1:11" customFormat="1" x14ac:dyDescent="0.25">
      <c r="A458" s="47"/>
      <c r="B458" s="2"/>
      <c r="C458" s="88"/>
      <c r="D458" s="88"/>
      <c r="E458" s="88"/>
      <c r="F458" s="88"/>
      <c r="G458" s="88"/>
      <c r="H458" s="89"/>
      <c r="I458" s="49"/>
      <c r="J458" s="50"/>
      <c r="K458" s="47"/>
    </row>
    <row r="459" spans="1:11" customFormat="1" x14ac:dyDescent="0.25">
      <c r="A459" s="47"/>
      <c r="B459" s="2"/>
      <c r="C459" s="88"/>
      <c r="D459" s="88"/>
      <c r="E459" s="88"/>
      <c r="F459" s="88"/>
      <c r="G459" s="88"/>
      <c r="H459" s="89"/>
      <c r="I459" s="49"/>
      <c r="J459" s="50"/>
      <c r="K459" s="47"/>
    </row>
    <row r="460" spans="1:11" customFormat="1" x14ac:dyDescent="0.25">
      <c r="A460" s="47"/>
      <c r="B460" s="2"/>
      <c r="C460" s="88"/>
      <c r="D460" s="88"/>
      <c r="E460" s="88"/>
      <c r="F460" s="88"/>
      <c r="G460" s="88"/>
      <c r="H460" s="89"/>
      <c r="I460" s="49"/>
      <c r="J460" s="50"/>
      <c r="K460" s="47"/>
    </row>
    <row r="461" spans="1:11" customFormat="1" x14ac:dyDescent="0.25">
      <c r="A461" s="47"/>
      <c r="B461" s="2"/>
      <c r="C461" s="88"/>
      <c r="D461" s="88"/>
      <c r="E461" s="88"/>
      <c r="F461" s="88"/>
      <c r="G461" s="88"/>
      <c r="H461" s="89"/>
      <c r="I461" s="49"/>
      <c r="J461" s="50"/>
      <c r="K461" s="47"/>
    </row>
    <row r="462" spans="1:11" customFormat="1" x14ac:dyDescent="0.25">
      <c r="A462" s="47"/>
      <c r="B462" s="2"/>
      <c r="C462" s="88"/>
      <c r="D462" s="88"/>
      <c r="E462" s="88"/>
      <c r="F462" s="88"/>
      <c r="G462" s="88"/>
      <c r="H462" s="89"/>
      <c r="I462" s="49"/>
      <c r="J462" s="50"/>
      <c r="K462" s="47"/>
    </row>
    <row r="463" spans="1:11" customFormat="1" x14ac:dyDescent="0.25">
      <c r="A463" s="47"/>
      <c r="B463" s="2"/>
      <c r="C463" s="88"/>
      <c r="D463" s="88"/>
      <c r="E463" s="88"/>
      <c r="F463" s="88"/>
      <c r="G463" s="48"/>
      <c r="H463" s="55"/>
      <c r="I463" s="49"/>
      <c r="J463" s="50"/>
      <c r="K463" s="47"/>
    </row>
    <row r="488" ht="28.95" customHeight="1" x14ac:dyDescent="0.25"/>
    <row r="512" spans="1:11" customFormat="1" x14ac:dyDescent="0.25">
      <c r="A512" s="47"/>
      <c r="B512" s="2"/>
      <c r="C512" s="48"/>
      <c r="D512" s="48"/>
      <c r="E512" s="48"/>
      <c r="F512" s="48"/>
      <c r="G512" s="67"/>
      <c r="H512" s="49"/>
      <c r="I512" s="49"/>
      <c r="J512" s="50"/>
      <c r="K512" s="47"/>
    </row>
    <row r="513" spans="2:10" s="48" customFormat="1" x14ac:dyDescent="0.25">
      <c r="B513" s="3"/>
      <c r="H513" s="55"/>
      <c r="I513" s="55"/>
      <c r="J513" s="56"/>
    </row>
    <row r="514" spans="2:10" s="48" customFormat="1" x14ac:dyDescent="0.25">
      <c r="B514" s="3"/>
      <c r="H514" s="55"/>
      <c r="I514" s="55"/>
      <c r="J514" s="56"/>
    </row>
    <row r="515" spans="2:10" s="48" customFormat="1" x14ac:dyDescent="0.25">
      <c r="B515" s="3"/>
      <c r="H515" s="55"/>
      <c r="I515" s="55"/>
      <c r="J515" s="56"/>
    </row>
    <row r="516" spans="2:10" s="48" customFormat="1" x14ac:dyDescent="0.25">
      <c r="B516" s="3"/>
      <c r="H516" s="55"/>
      <c r="I516" s="55"/>
      <c r="J516" s="56"/>
    </row>
    <row r="517" spans="2:10" s="48" customFormat="1" x14ac:dyDescent="0.25">
      <c r="B517" s="3"/>
      <c r="H517" s="55"/>
      <c r="I517" s="55"/>
      <c r="J517" s="56"/>
    </row>
    <row r="518" spans="2:10" s="48" customFormat="1" x14ac:dyDescent="0.25">
      <c r="B518" s="3"/>
      <c r="H518" s="55"/>
      <c r="I518" s="55"/>
      <c r="J518" s="56"/>
    </row>
    <row r="519" spans="2:10" s="48" customFormat="1" x14ac:dyDescent="0.25">
      <c r="B519" s="3"/>
      <c r="H519" s="55"/>
      <c r="I519" s="55"/>
      <c r="J519" s="56"/>
    </row>
    <row r="520" spans="2:10" s="48" customFormat="1" x14ac:dyDescent="0.25">
      <c r="B520" s="3"/>
      <c r="H520" s="55"/>
      <c r="I520" s="55"/>
      <c r="J520" s="56"/>
    </row>
    <row r="521" spans="2:10" s="48" customFormat="1" x14ac:dyDescent="0.25">
      <c r="B521" s="3"/>
      <c r="H521" s="55"/>
      <c r="I521" s="55"/>
      <c r="J521" s="56"/>
    </row>
    <row r="522" spans="2:10" s="48" customFormat="1" x14ac:dyDescent="0.25">
      <c r="B522" s="3"/>
      <c r="H522" s="55"/>
      <c r="I522" s="55"/>
      <c r="J522" s="56"/>
    </row>
    <row r="523" spans="2:10" s="48" customFormat="1" x14ac:dyDescent="0.25">
      <c r="B523" s="3"/>
      <c r="G523" s="90"/>
      <c r="H523" s="55"/>
      <c r="I523" s="55"/>
      <c r="J523" s="56"/>
    </row>
    <row r="524" spans="2:10" s="48" customFormat="1" x14ac:dyDescent="0.25">
      <c r="B524" s="3"/>
      <c r="H524" s="55"/>
      <c r="I524" s="90"/>
      <c r="J524" s="56"/>
    </row>
    <row r="525" spans="2:10" s="48" customFormat="1" x14ac:dyDescent="0.25">
      <c r="B525" s="3"/>
      <c r="H525" s="55"/>
      <c r="I525" s="55"/>
      <c r="J525" s="56"/>
    </row>
  </sheetData>
  <mergeCells count="1">
    <mergeCell ref="B50:C50"/>
  </mergeCells>
  <printOptions horizontalCentered="1"/>
  <pageMargins left="0.31496062992125984" right="0.31496062992125984" top="0.59055118110236227" bottom="0.59055118110236227" header="0.31496062992125984" footer="0.31496062992125984"/>
  <pageSetup paperSize="9" fitToHeight="100" orientation="portrait" r:id="rId1"/>
  <headerFooter>
    <oddFooter>Stránka &amp;P z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596"/>
  <sheetViews>
    <sheetView topLeftCell="A36" workbookViewId="0">
      <selection activeCell="F46" sqref="F46:F117"/>
    </sheetView>
  </sheetViews>
  <sheetFormatPr defaultRowHeight="13.2" x14ac:dyDescent="0.25"/>
  <cols>
    <col min="1" max="1" width="5.6640625" style="490" customWidth="1"/>
    <col min="2" max="2" width="10.109375" style="94" customWidth="1"/>
    <col min="3" max="3" width="73.6640625" style="21" customWidth="1"/>
    <col min="4" max="4" width="4.109375" style="28" customWidth="1"/>
    <col min="5" max="5" width="7.6640625" style="98" customWidth="1"/>
    <col min="6" max="6" width="9.109375" style="96" customWidth="1"/>
    <col min="7" max="7" width="12.109375" style="93" customWidth="1"/>
    <col min="8" max="8" width="9.44140625" style="96" customWidth="1"/>
    <col min="9" max="9" width="8.88671875" style="28"/>
    <col min="10" max="10" width="8.6640625" style="28" customWidth="1"/>
    <col min="11" max="11" width="9.6640625" style="28" customWidth="1"/>
    <col min="12" max="12" width="7.33203125" style="505" customWidth="1"/>
    <col min="13" max="13" width="23.109375" style="98" customWidth="1"/>
    <col min="14" max="14" width="4.88671875" style="28" customWidth="1"/>
    <col min="15" max="15" width="17.88671875" style="99" customWidth="1"/>
    <col min="16" max="16" width="8.88671875" style="98"/>
    <col min="17" max="17" width="6.33203125" style="509" customWidth="1"/>
    <col min="18" max="18" width="13" style="28" customWidth="1"/>
    <col min="19" max="16384" width="8.88671875" style="28"/>
  </cols>
  <sheetData>
    <row r="1" spans="1:18" s="23" customFormat="1" ht="15.6" x14ac:dyDescent="0.25">
      <c r="A1" s="490"/>
      <c r="B1" s="33"/>
      <c r="C1" s="616" t="s">
        <v>95</v>
      </c>
      <c r="D1" s="28"/>
      <c r="E1" s="32"/>
      <c r="F1" s="96"/>
      <c r="G1" s="93"/>
      <c r="H1" s="96"/>
      <c r="I1" s="461"/>
      <c r="J1" s="28"/>
      <c r="K1" s="505"/>
      <c r="L1" s="28"/>
      <c r="N1" s="99"/>
      <c r="O1" s="28"/>
      <c r="P1" s="505"/>
      <c r="Q1" s="28"/>
    </row>
    <row r="2" spans="1:18" x14ac:dyDescent="0.25">
      <c r="C2" s="13" t="s">
        <v>96</v>
      </c>
      <c r="E2" s="32"/>
      <c r="J2" s="25"/>
      <c r="K2" s="506"/>
      <c r="L2" s="507"/>
      <c r="M2" s="506"/>
      <c r="N2" s="506"/>
      <c r="O2" s="508"/>
      <c r="P2" s="506"/>
      <c r="Q2" s="507"/>
      <c r="R2" s="506"/>
    </row>
    <row r="3" spans="1:18" x14ac:dyDescent="0.25">
      <c r="C3" s="13" t="s">
        <v>97</v>
      </c>
      <c r="E3" s="32"/>
      <c r="J3" s="98"/>
      <c r="M3" s="28"/>
      <c r="P3" s="28"/>
      <c r="Q3" s="505"/>
    </row>
    <row r="4" spans="1:18" x14ac:dyDescent="0.25">
      <c r="C4" s="95"/>
      <c r="E4" s="32"/>
      <c r="F4" s="97"/>
      <c r="G4" s="466"/>
      <c r="J4" s="98"/>
      <c r="M4" s="28"/>
      <c r="P4" s="28"/>
      <c r="Q4" s="505"/>
    </row>
    <row r="5" spans="1:18" x14ac:dyDescent="0.25">
      <c r="B5" s="33"/>
      <c r="C5" s="13"/>
      <c r="E5" s="32"/>
      <c r="F5" s="97"/>
      <c r="G5" s="466"/>
      <c r="I5" s="461"/>
      <c r="K5" s="505"/>
      <c r="L5" s="28"/>
      <c r="M5" s="28"/>
      <c r="N5" s="99"/>
      <c r="O5" s="28"/>
      <c r="P5" s="505"/>
      <c r="Q5" s="28"/>
    </row>
    <row r="6" spans="1:18" x14ac:dyDescent="0.25">
      <c r="C6" s="13" t="s">
        <v>98</v>
      </c>
      <c r="F6" s="97"/>
      <c r="G6" s="466"/>
      <c r="J6" s="25"/>
      <c r="M6" s="25"/>
    </row>
    <row r="7" spans="1:18" x14ac:dyDescent="0.25">
      <c r="C7" s="467" t="s">
        <v>2546</v>
      </c>
      <c r="F7" s="97"/>
      <c r="G7" s="466"/>
      <c r="J7" s="25"/>
      <c r="M7" s="25"/>
    </row>
    <row r="8" spans="1:18" x14ac:dyDescent="0.25">
      <c r="C8" s="13"/>
      <c r="F8" s="97"/>
      <c r="G8" s="466"/>
      <c r="J8" s="25"/>
      <c r="M8" s="25"/>
    </row>
    <row r="9" spans="1:18" x14ac:dyDescent="0.25">
      <c r="C9" s="13"/>
      <c r="F9" s="97"/>
      <c r="G9" s="466"/>
      <c r="J9" s="98"/>
    </row>
    <row r="10" spans="1:18" x14ac:dyDescent="0.25">
      <c r="C10" s="13"/>
      <c r="F10" s="97"/>
      <c r="G10" s="466"/>
      <c r="J10" s="98"/>
    </row>
    <row r="11" spans="1:18" x14ac:dyDescent="0.25">
      <c r="A11" s="490" t="s">
        <v>99</v>
      </c>
      <c r="C11" s="13" t="s">
        <v>100</v>
      </c>
      <c r="F11" s="97"/>
      <c r="G11" s="466"/>
      <c r="J11" s="98"/>
    </row>
    <row r="12" spans="1:18" x14ac:dyDescent="0.25">
      <c r="A12" s="490" t="s">
        <v>101</v>
      </c>
      <c r="C12" s="467" t="s">
        <v>2547</v>
      </c>
      <c r="D12" s="28" t="s">
        <v>71</v>
      </c>
      <c r="F12" s="97"/>
      <c r="G12" s="468">
        <f>G44</f>
        <v>0</v>
      </c>
      <c r="J12" s="98"/>
      <c r="K12" s="98"/>
      <c r="Q12" s="505"/>
      <c r="R12" s="114"/>
    </row>
    <row r="13" spans="1:18" x14ac:dyDescent="0.25">
      <c r="A13" s="490" t="s">
        <v>102</v>
      </c>
      <c r="C13" s="13"/>
      <c r="F13" s="97"/>
      <c r="G13" s="466"/>
      <c r="J13" s="98"/>
      <c r="K13" s="98"/>
      <c r="M13" s="462"/>
      <c r="O13" s="461"/>
      <c r="Q13" s="505"/>
      <c r="R13" s="21"/>
    </row>
    <row r="14" spans="1:18" x14ac:dyDescent="0.25">
      <c r="A14" s="490" t="s">
        <v>103</v>
      </c>
      <c r="C14" s="13" t="s">
        <v>104</v>
      </c>
      <c r="D14" s="28" t="s">
        <v>71</v>
      </c>
      <c r="F14" s="97"/>
      <c r="G14" s="468">
        <f>SUM(G12:G13)</f>
        <v>0</v>
      </c>
      <c r="J14" s="98"/>
      <c r="K14" s="98"/>
      <c r="M14" s="114"/>
      <c r="O14" s="461"/>
      <c r="Q14" s="505"/>
      <c r="R14" s="21"/>
    </row>
    <row r="15" spans="1:18" x14ac:dyDescent="0.25">
      <c r="A15" s="490" t="s">
        <v>105</v>
      </c>
      <c r="C15" s="13" t="s">
        <v>2542</v>
      </c>
      <c r="D15" s="95" t="s">
        <v>71</v>
      </c>
      <c r="E15" s="506">
        <v>0.03</v>
      </c>
      <c r="F15" s="613"/>
      <c r="G15" s="134">
        <f>G14*E15</f>
        <v>0</v>
      </c>
      <c r="J15" s="98"/>
      <c r="O15" s="461"/>
    </row>
    <row r="16" spans="1:18" x14ac:dyDescent="0.25">
      <c r="A16" s="490" t="s">
        <v>107</v>
      </c>
      <c r="C16" s="13" t="s">
        <v>108</v>
      </c>
      <c r="D16" s="28" t="s">
        <v>71</v>
      </c>
      <c r="F16" s="97"/>
      <c r="G16" s="468">
        <f>SUM(G14:G15)</f>
        <v>0</v>
      </c>
      <c r="J16" s="98"/>
      <c r="O16" s="461"/>
    </row>
    <row r="17" spans="1:17" x14ac:dyDescent="0.25">
      <c r="A17" s="490" t="s">
        <v>109</v>
      </c>
      <c r="C17" s="13" t="s">
        <v>110</v>
      </c>
      <c r="D17" s="28" t="s">
        <v>71</v>
      </c>
      <c r="E17" s="32">
        <v>0.21</v>
      </c>
      <c r="F17" s="97"/>
      <c r="G17" s="466">
        <f>G16*E17</f>
        <v>0</v>
      </c>
      <c r="J17" s="98"/>
      <c r="O17" s="461"/>
    </row>
    <row r="18" spans="1:17" x14ac:dyDescent="0.25">
      <c r="A18" s="490" t="s">
        <v>111</v>
      </c>
      <c r="C18" s="13"/>
      <c r="F18" s="97"/>
      <c r="G18" s="466"/>
      <c r="J18" s="98"/>
      <c r="O18" s="461"/>
    </row>
    <row r="19" spans="1:17" x14ac:dyDescent="0.25">
      <c r="A19" s="490" t="s">
        <v>112</v>
      </c>
      <c r="C19" s="13" t="s">
        <v>113</v>
      </c>
      <c r="D19" s="28" t="s">
        <v>71</v>
      </c>
      <c r="F19" s="97"/>
      <c r="G19" s="468">
        <f>SUM(G16:G17)</f>
        <v>0</v>
      </c>
      <c r="J19" s="98"/>
      <c r="O19" s="461"/>
    </row>
    <row r="20" spans="1:17" x14ac:dyDescent="0.25">
      <c r="A20" s="490" t="s">
        <v>928</v>
      </c>
      <c r="F20" s="97"/>
      <c r="G20" s="468"/>
      <c r="J20" s="98"/>
      <c r="O20" s="461"/>
    </row>
    <row r="21" spans="1:17" x14ac:dyDescent="0.25">
      <c r="A21" s="490" t="s">
        <v>934</v>
      </c>
      <c r="F21" s="97"/>
      <c r="G21" s="466"/>
      <c r="J21" s="98"/>
      <c r="O21" s="461"/>
    </row>
    <row r="22" spans="1:17" s="95" customFormat="1" ht="29.4" customHeight="1" x14ac:dyDescent="0.25">
      <c r="A22" s="510" t="s">
        <v>114</v>
      </c>
      <c r="B22" s="511" t="s">
        <v>432</v>
      </c>
      <c r="C22" s="426" t="s">
        <v>115</v>
      </c>
      <c r="D22" s="426" t="s">
        <v>116</v>
      </c>
      <c r="E22" s="427" t="s">
        <v>117</v>
      </c>
      <c r="F22" s="512" t="s">
        <v>118</v>
      </c>
      <c r="G22" s="428" t="s">
        <v>119</v>
      </c>
      <c r="H22" s="617" t="s">
        <v>607</v>
      </c>
      <c r="I22" s="13"/>
      <c r="L22" s="513"/>
      <c r="M22" s="25"/>
      <c r="O22" s="508"/>
      <c r="P22" s="25"/>
      <c r="Q22" s="514"/>
    </row>
    <row r="23" spans="1:17" ht="26.4" x14ac:dyDescent="0.25">
      <c r="A23" s="490" t="s">
        <v>122</v>
      </c>
      <c r="B23" s="418"/>
      <c r="C23" s="21" t="s">
        <v>434</v>
      </c>
      <c r="F23" s="97"/>
      <c r="G23" s="466"/>
      <c r="J23" s="98"/>
      <c r="O23" s="461"/>
    </row>
    <row r="24" spans="1:17" x14ac:dyDescent="0.25">
      <c r="A24" s="490" t="s">
        <v>123</v>
      </c>
      <c r="B24" s="418"/>
      <c r="C24" s="21" t="s">
        <v>143</v>
      </c>
      <c r="F24" s="97"/>
      <c r="G24" s="466"/>
      <c r="J24" s="98"/>
      <c r="O24" s="461"/>
    </row>
    <row r="25" spans="1:17" ht="79.2" x14ac:dyDescent="0.25">
      <c r="A25" s="490" t="s">
        <v>948</v>
      </c>
      <c r="B25" s="418"/>
      <c r="C25" s="21" t="s">
        <v>2445</v>
      </c>
      <c r="F25" s="97"/>
      <c r="G25" s="466"/>
      <c r="J25" s="98"/>
      <c r="O25" s="461"/>
    </row>
    <row r="26" spans="1:17" ht="26.4" x14ac:dyDescent="0.25">
      <c r="A26" s="490" t="s">
        <v>967</v>
      </c>
      <c r="B26" s="418"/>
      <c r="C26" s="21" t="s">
        <v>2360</v>
      </c>
      <c r="F26" s="97"/>
      <c r="G26" s="466"/>
      <c r="J26" s="98"/>
      <c r="O26" s="461"/>
    </row>
    <row r="27" spans="1:17" x14ac:dyDescent="0.25">
      <c r="A27" s="490" t="s">
        <v>974</v>
      </c>
      <c r="B27" s="418"/>
      <c r="C27" s="21" t="s">
        <v>145</v>
      </c>
      <c r="F27" s="97"/>
      <c r="G27" s="466"/>
      <c r="J27" s="98"/>
      <c r="O27" s="461"/>
    </row>
    <row r="28" spans="1:17" ht="66" x14ac:dyDescent="0.25">
      <c r="A28" s="490" t="s">
        <v>980</v>
      </c>
      <c r="B28" s="418"/>
      <c r="C28" s="21" t="s">
        <v>433</v>
      </c>
      <c r="F28" s="97"/>
      <c r="G28" s="466"/>
      <c r="J28" s="98"/>
      <c r="O28" s="461"/>
    </row>
    <row r="29" spans="1:17" x14ac:dyDescent="0.25">
      <c r="A29" s="490" t="s">
        <v>990</v>
      </c>
      <c r="B29" s="418"/>
      <c r="C29" s="21" t="s">
        <v>147</v>
      </c>
      <c r="F29" s="97"/>
      <c r="G29" s="466"/>
      <c r="J29" s="98"/>
      <c r="O29" s="461"/>
    </row>
    <row r="30" spans="1:17" ht="26.4" x14ac:dyDescent="0.25">
      <c r="A30" s="490" t="s">
        <v>996</v>
      </c>
      <c r="B30" s="418"/>
      <c r="C30" s="21" t="s">
        <v>148</v>
      </c>
      <c r="F30" s="97"/>
      <c r="G30" s="466"/>
      <c r="J30" s="98"/>
      <c r="O30" s="461"/>
    </row>
    <row r="31" spans="1:17" ht="39.6" x14ac:dyDescent="0.25">
      <c r="A31" s="490" t="s">
        <v>1002</v>
      </c>
      <c r="B31" s="418"/>
      <c r="C31" s="21" t="s">
        <v>431</v>
      </c>
      <c r="F31" s="97"/>
      <c r="G31" s="466"/>
      <c r="J31" s="98"/>
      <c r="O31" s="461"/>
    </row>
    <row r="32" spans="1:17" x14ac:dyDescent="0.25">
      <c r="A32" s="490" t="s">
        <v>1008</v>
      </c>
      <c r="B32" s="418"/>
      <c r="C32" s="21" t="s">
        <v>150</v>
      </c>
      <c r="F32" s="97"/>
      <c r="G32" s="466"/>
      <c r="J32" s="98"/>
      <c r="O32" s="461"/>
    </row>
    <row r="33" spans="1:17" x14ac:dyDescent="0.25">
      <c r="A33" s="490" t="s">
        <v>1012</v>
      </c>
      <c r="B33" s="418"/>
      <c r="C33" s="21" t="s">
        <v>151</v>
      </c>
      <c r="F33" s="97"/>
      <c r="G33" s="466"/>
      <c r="J33" s="98"/>
      <c r="O33" s="461"/>
    </row>
    <row r="34" spans="1:17" x14ac:dyDescent="0.25">
      <c r="A34" s="490" t="s">
        <v>1018</v>
      </c>
      <c r="B34" s="418"/>
      <c r="C34" s="21" t="s">
        <v>2358</v>
      </c>
      <c r="F34" s="97"/>
      <c r="G34" s="466"/>
      <c r="J34" s="98"/>
      <c r="O34" s="461"/>
    </row>
    <row r="35" spans="1:17" ht="26.4" x14ac:dyDescent="0.25">
      <c r="A35" s="490" t="s">
        <v>1022</v>
      </c>
      <c r="B35" s="418"/>
      <c r="C35" s="21" t="s">
        <v>152</v>
      </c>
      <c r="F35" s="97"/>
      <c r="G35" s="466"/>
      <c r="J35" s="98"/>
      <c r="O35" s="461"/>
    </row>
    <row r="36" spans="1:17" ht="26.4" x14ac:dyDescent="0.25">
      <c r="A36" s="490" t="s">
        <v>1026</v>
      </c>
      <c r="B36" s="418"/>
      <c r="C36" s="21" t="s">
        <v>153</v>
      </c>
      <c r="F36" s="97"/>
      <c r="G36" s="466"/>
      <c r="J36" s="98"/>
      <c r="O36" s="461"/>
    </row>
    <row r="37" spans="1:17" x14ac:dyDescent="0.25">
      <c r="A37" s="490" t="s">
        <v>1030</v>
      </c>
      <c r="B37" s="418"/>
      <c r="C37" s="21" t="s">
        <v>430</v>
      </c>
      <c r="F37" s="97"/>
      <c r="G37" s="466"/>
      <c r="J37" s="98"/>
      <c r="O37" s="461"/>
    </row>
    <row r="38" spans="1:17" x14ac:dyDescent="0.25">
      <c r="A38" s="490" t="s">
        <v>1034</v>
      </c>
      <c r="B38" s="418"/>
      <c r="C38" s="21" t="s">
        <v>2359</v>
      </c>
      <c r="F38" s="97"/>
      <c r="G38" s="466"/>
      <c r="J38" s="98"/>
      <c r="O38" s="461"/>
    </row>
    <row r="39" spans="1:17" ht="26.4" x14ac:dyDescent="0.25">
      <c r="A39" s="490" t="s">
        <v>1038</v>
      </c>
      <c r="B39" s="418"/>
      <c r="C39" s="21" t="s">
        <v>2361</v>
      </c>
      <c r="F39" s="97"/>
      <c r="G39" s="466"/>
      <c r="J39" s="98"/>
      <c r="O39" s="461"/>
    </row>
    <row r="40" spans="1:17" ht="39.6" x14ac:dyDescent="0.25">
      <c r="A40" s="490" t="s">
        <v>1042</v>
      </c>
      <c r="B40" s="418"/>
      <c r="C40" s="21" t="s">
        <v>2180</v>
      </c>
      <c r="F40" s="97"/>
      <c r="G40" s="466"/>
      <c r="J40" s="98"/>
      <c r="O40" s="461"/>
    </row>
    <row r="41" spans="1:17" x14ac:dyDescent="0.25">
      <c r="A41" s="490" t="s">
        <v>1046</v>
      </c>
      <c r="B41" s="418"/>
      <c r="C41" s="21" t="s">
        <v>2179</v>
      </c>
      <c r="F41" s="97"/>
      <c r="G41" s="466"/>
      <c r="J41" s="98"/>
      <c r="O41" s="461"/>
    </row>
    <row r="42" spans="1:17" x14ac:dyDescent="0.25">
      <c r="A42" s="490" t="s">
        <v>1050</v>
      </c>
      <c r="B42" s="418"/>
      <c r="C42" s="21" t="s">
        <v>2355</v>
      </c>
      <c r="F42" s="97"/>
      <c r="G42" s="466"/>
      <c r="J42" s="98"/>
      <c r="O42" s="461"/>
    </row>
    <row r="43" spans="1:17" x14ac:dyDescent="0.25">
      <c r="A43" s="490" t="s">
        <v>1054</v>
      </c>
      <c r="B43" s="418"/>
    </row>
    <row r="44" spans="1:17" x14ac:dyDescent="0.25">
      <c r="A44" s="490" t="s">
        <v>1058</v>
      </c>
      <c r="B44" s="418"/>
      <c r="C44" s="133" t="s">
        <v>120</v>
      </c>
      <c r="D44" s="469" t="s">
        <v>71</v>
      </c>
      <c r="E44" s="100" t="s">
        <v>121</v>
      </c>
      <c r="F44" s="470"/>
      <c r="G44" s="468">
        <f>SUM(G45:G117)</f>
        <v>0</v>
      </c>
      <c r="J44" s="98"/>
      <c r="K44" s="98"/>
      <c r="Q44" s="505"/>
    </row>
    <row r="45" spans="1:17" x14ac:dyDescent="0.25">
      <c r="A45" s="490" t="s">
        <v>1062</v>
      </c>
      <c r="B45" s="418"/>
      <c r="F45" s="97"/>
      <c r="G45" s="466"/>
      <c r="J45" s="98"/>
      <c r="K45" s="98"/>
      <c r="Q45" s="505"/>
    </row>
    <row r="46" spans="1:17" ht="39.6" x14ac:dyDescent="0.25">
      <c r="A46" s="490" t="s">
        <v>1066</v>
      </c>
      <c r="B46" s="418" t="s">
        <v>359</v>
      </c>
      <c r="C46" s="21" t="s">
        <v>590</v>
      </c>
      <c r="D46" s="28" t="s">
        <v>358</v>
      </c>
      <c r="E46" s="98">
        <v>20</v>
      </c>
      <c r="F46" s="97"/>
      <c r="G46" s="93">
        <f t="shared" ref="G46:G53" si="0">E46*F46</f>
        <v>0</v>
      </c>
      <c r="J46" s="98"/>
      <c r="K46" s="98"/>
      <c r="Q46" s="505"/>
    </row>
    <row r="47" spans="1:17" ht="39.6" x14ac:dyDescent="0.25">
      <c r="A47" s="490" t="s">
        <v>1070</v>
      </c>
      <c r="B47" s="418">
        <v>1190014</v>
      </c>
      <c r="C47" s="21" t="s">
        <v>591</v>
      </c>
      <c r="D47" s="28" t="s">
        <v>28</v>
      </c>
      <c r="E47" s="98">
        <f>(49+61.5)*10+49*3</f>
        <v>1252</v>
      </c>
      <c r="F47" s="97"/>
      <c r="G47" s="93">
        <f t="shared" si="0"/>
        <v>0</v>
      </c>
      <c r="H47" s="96">
        <f>0.04*E47</f>
        <v>50.08</v>
      </c>
      <c r="J47" s="98"/>
      <c r="K47" s="98"/>
      <c r="Q47" s="505"/>
    </row>
    <row r="48" spans="1:17" ht="26.4" x14ac:dyDescent="0.25">
      <c r="A48" s="490" t="s">
        <v>1075</v>
      </c>
      <c r="B48" s="418">
        <v>119001423</v>
      </c>
      <c r="C48" s="21" t="s">
        <v>592</v>
      </c>
      <c r="D48" s="28" t="s">
        <v>28</v>
      </c>
      <c r="E48" s="98">
        <f>(61.5+50.5)*2</f>
        <v>224</v>
      </c>
      <c r="F48" s="97"/>
      <c r="G48" s="93">
        <f t="shared" si="0"/>
        <v>0</v>
      </c>
      <c r="H48" s="96">
        <f>0.10775*E48</f>
        <v>24.135999999999999</v>
      </c>
      <c r="J48" s="98"/>
      <c r="K48" s="98"/>
      <c r="Q48" s="505"/>
    </row>
    <row r="49" spans="1:17" x14ac:dyDescent="0.25">
      <c r="A49" s="490" t="s">
        <v>1079</v>
      </c>
      <c r="B49" s="418">
        <v>119001421</v>
      </c>
      <c r="C49" s="21" t="s">
        <v>593</v>
      </c>
      <c r="D49" s="28" t="s">
        <v>28</v>
      </c>
      <c r="E49" s="98">
        <f>50.5*3*2</f>
        <v>303</v>
      </c>
      <c r="F49" s="97"/>
      <c r="G49" s="93">
        <f t="shared" si="0"/>
        <v>0</v>
      </c>
      <c r="H49" s="96">
        <f>0.0369*E49</f>
        <v>11.1807</v>
      </c>
      <c r="J49" s="98"/>
      <c r="K49" s="98"/>
      <c r="Q49" s="505"/>
    </row>
    <row r="50" spans="1:17" ht="26.4" x14ac:dyDescent="0.25">
      <c r="A50" s="490" t="s">
        <v>1083</v>
      </c>
      <c r="B50" s="418">
        <v>119001412</v>
      </c>
      <c r="C50" s="21" t="s">
        <v>594</v>
      </c>
      <c r="D50" s="28" t="s">
        <v>28</v>
      </c>
      <c r="E50" s="96">
        <f>61.5+49</f>
        <v>110.5</v>
      </c>
      <c r="F50" s="97"/>
      <c r="G50" s="93">
        <f t="shared" si="0"/>
        <v>0</v>
      </c>
      <c r="H50" s="96">
        <f>0.01269*E50</f>
        <v>1.402245</v>
      </c>
      <c r="J50" s="98"/>
      <c r="K50" s="98"/>
      <c r="Q50" s="505"/>
    </row>
    <row r="51" spans="1:17" x14ac:dyDescent="0.25">
      <c r="A51" s="490" t="s">
        <v>1087</v>
      </c>
      <c r="B51" s="418">
        <v>119001406</v>
      </c>
      <c r="C51" s="133" t="s">
        <v>137</v>
      </c>
      <c r="D51" s="28" t="s">
        <v>28</v>
      </c>
      <c r="E51" s="98">
        <v>59</v>
      </c>
      <c r="F51" s="97"/>
      <c r="G51" s="93">
        <f t="shared" si="0"/>
        <v>0</v>
      </c>
      <c r="H51" s="96">
        <f>0.00868*E51</f>
        <v>0.51212000000000002</v>
      </c>
      <c r="J51" s="98"/>
      <c r="K51" s="98"/>
      <c r="Q51" s="505"/>
    </row>
    <row r="52" spans="1:17" x14ac:dyDescent="0.25">
      <c r="A52" s="490" t="s">
        <v>1092</v>
      </c>
      <c r="B52" s="418">
        <v>119002121</v>
      </c>
      <c r="C52" s="133" t="s">
        <v>383</v>
      </c>
      <c r="D52" s="28" t="s">
        <v>26</v>
      </c>
      <c r="E52" s="98">
        <v>8</v>
      </c>
      <c r="F52" s="97"/>
      <c r="G52" s="93">
        <f t="shared" si="0"/>
        <v>0</v>
      </c>
      <c r="H52" s="96">
        <f>0.00065*E52</f>
        <v>5.1999999999999998E-3</v>
      </c>
      <c r="J52" s="98"/>
      <c r="K52" s="98"/>
      <c r="Q52" s="505"/>
    </row>
    <row r="53" spans="1:17" x14ac:dyDescent="0.25">
      <c r="A53" s="490" t="s">
        <v>1097</v>
      </c>
      <c r="B53" s="418">
        <v>119002122</v>
      </c>
      <c r="C53" s="133" t="s">
        <v>48</v>
      </c>
      <c r="D53" s="28" t="s">
        <v>26</v>
      </c>
      <c r="E53" s="98">
        <v>8</v>
      </c>
      <c r="F53" s="97"/>
      <c r="G53" s="93">
        <f t="shared" si="0"/>
        <v>0</v>
      </c>
      <c r="H53" s="96">
        <v>0</v>
      </c>
      <c r="J53" s="98"/>
      <c r="K53" s="98"/>
      <c r="Q53" s="505"/>
    </row>
    <row r="54" spans="1:17" x14ac:dyDescent="0.25">
      <c r="A54" s="490" t="s">
        <v>1102</v>
      </c>
      <c r="B54" s="418"/>
      <c r="C54" s="133"/>
      <c r="F54" s="97"/>
      <c r="J54" s="98"/>
      <c r="K54" s="98"/>
      <c r="Q54" s="505"/>
    </row>
    <row r="55" spans="1:17" ht="26.4" x14ac:dyDescent="0.25">
      <c r="A55" s="490" t="s">
        <v>1106</v>
      </c>
      <c r="B55" s="418">
        <v>121151125</v>
      </c>
      <c r="C55" s="133" t="s">
        <v>2446</v>
      </c>
      <c r="D55" s="28" t="s">
        <v>15</v>
      </c>
      <c r="E55" s="98">
        <f>E56+E57</f>
        <v>2416.6395000000002</v>
      </c>
      <c r="F55" s="97"/>
      <c r="G55" s="466">
        <f>E55*F55</f>
        <v>0</v>
      </c>
      <c r="J55" s="98"/>
      <c r="K55" s="98"/>
      <c r="Q55" s="505"/>
    </row>
    <row r="56" spans="1:17" ht="79.2" x14ac:dyDescent="0.25">
      <c r="A56" s="490" t="s">
        <v>1111</v>
      </c>
      <c r="B56" s="418"/>
      <c r="C56" s="21" t="s">
        <v>133</v>
      </c>
      <c r="D56" s="28" t="s">
        <v>15</v>
      </c>
      <c r="E56" s="98">
        <f>(41.41+34.56+8*2+6+61.31*1.6+7.66*13.25+16.03*5.75+17.35*3+118.69+153.37+2.25*8)</f>
        <v>731.84350000000006</v>
      </c>
      <c r="F56" s="97"/>
      <c r="G56" s="466"/>
      <c r="J56" s="98"/>
      <c r="K56" s="98"/>
      <c r="Q56" s="505"/>
    </row>
    <row r="57" spans="1:17" ht="79.2" x14ac:dyDescent="0.25">
      <c r="A57" s="490" t="s">
        <v>1116</v>
      </c>
      <c r="B57" s="418"/>
      <c r="C57" s="21" t="s">
        <v>393</v>
      </c>
      <c r="D57" s="28" t="s">
        <v>15</v>
      </c>
      <c r="E57" s="98">
        <f>(2630- 214.79+ 61.31*1.6-107.6*2+118.69)-732</f>
        <v>1684.7960000000003</v>
      </c>
      <c r="F57" s="97"/>
      <c r="G57" s="466"/>
      <c r="J57" s="98"/>
      <c r="K57" s="98"/>
      <c r="Q57" s="505"/>
    </row>
    <row r="58" spans="1:17" ht="26.4" x14ac:dyDescent="0.25">
      <c r="A58" s="490" t="s">
        <v>1121</v>
      </c>
      <c r="B58" s="418">
        <v>162751117</v>
      </c>
      <c r="C58" s="133" t="s">
        <v>2447</v>
      </c>
      <c r="D58" s="28" t="s">
        <v>2</v>
      </c>
      <c r="E58" s="98">
        <f>2417*0.3</f>
        <v>725.1</v>
      </c>
      <c r="F58" s="97"/>
      <c r="G58" s="466">
        <f>E58*F58</f>
        <v>0</v>
      </c>
      <c r="I58" s="471"/>
      <c r="J58" s="99"/>
      <c r="K58" s="98"/>
      <c r="Q58" s="505"/>
    </row>
    <row r="59" spans="1:17" ht="39.6" x14ac:dyDescent="0.25">
      <c r="A59" s="490" t="s">
        <v>1125</v>
      </c>
      <c r="B59" s="418">
        <v>162751119</v>
      </c>
      <c r="C59" s="133" t="s">
        <v>2615</v>
      </c>
      <c r="D59" s="28" t="s">
        <v>2</v>
      </c>
      <c r="E59" s="98">
        <v>725</v>
      </c>
      <c r="F59" s="97"/>
      <c r="G59" s="466">
        <f>E59*F59</f>
        <v>0</v>
      </c>
      <c r="I59" s="471"/>
      <c r="J59" s="99"/>
      <c r="K59" s="98"/>
      <c r="Q59" s="505"/>
    </row>
    <row r="60" spans="1:17" ht="26.4" x14ac:dyDescent="0.25">
      <c r="A60" s="490" t="s">
        <v>1130</v>
      </c>
      <c r="B60" s="418">
        <v>122552206</v>
      </c>
      <c r="C60" s="133" t="s">
        <v>2448</v>
      </c>
      <c r="D60" s="28" t="s">
        <v>2</v>
      </c>
      <c r="E60" s="98">
        <f>(1.6-0.3)*(2630)+1.28*61.31-1.28*159.68-(61.31*6.5*0.6+40.5*6.5*0.6)*1.2</f>
        <v>2816.6156000000001</v>
      </c>
      <c r="F60" s="97"/>
      <c r="G60" s="466">
        <f>E60*F60</f>
        <v>0</v>
      </c>
      <c r="J60" s="98"/>
      <c r="K60" s="98"/>
      <c r="Q60" s="505"/>
    </row>
    <row r="61" spans="1:17" x14ac:dyDescent="0.25">
      <c r="A61" s="490" t="s">
        <v>1134</v>
      </c>
      <c r="B61" s="418"/>
      <c r="C61" s="133" t="s">
        <v>136</v>
      </c>
      <c r="F61" s="97"/>
      <c r="G61" s="466"/>
      <c r="J61" s="98"/>
      <c r="K61" s="98"/>
      <c r="Q61" s="505"/>
    </row>
    <row r="62" spans="1:17" ht="52.8" x14ac:dyDescent="0.25">
      <c r="A62" s="490" t="s">
        <v>1139</v>
      </c>
      <c r="B62" s="418"/>
      <c r="C62" s="21" t="s">
        <v>135</v>
      </c>
      <c r="F62" s="97"/>
      <c r="G62" s="466"/>
      <c r="J62" s="98"/>
      <c r="K62" s="98"/>
      <c r="Q62" s="505"/>
    </row>
    <row r="63" spans="1:17" ht="39.6" x14ac:dyDescent="0.25">
      <c r="A63" s="490" t="s">
        <v>1143</v>
      </c>
      <c r="B63" s="418" t="s">
        <v>134</v>
      </c>
      <c r="C63" s="133" t="s">
        <v>595</v>
      </c>
      <c r="D63" s="28" t="s">
        <v>2</v>
      </c>
      <c r="E63" s="98">
        <f>(61.31*6.5*0.6+40.5*6.5*0.6)*1.2</f>
        <v>476.47079999999994</v>
      </c>
      <c r="F63" s="97"/>
      <c r="G63" s="466">
        <f t="shared" ref="G63:G71" si="1">E63*F63</f>
        <v>0</v>
      </c>
      <c r="J63" s="98"/>
      <c r="K63" s="98"/>
      <c r="Q63" s="505"/>
    </row>
    <row r="64" spans="1:17" ht="26.4" x14ac:dyDescent="0.25">
      <c r="A64" s="490" t="s">
        <v>1148</v>
      </c>
      <c r="B64" s="418">
        <v>162751137</v>
      </c>
      <c r="C64" s="133" t="s">
        <v>596</v>
      </c>
      <c r="D64" s="28" t="s">
        <v>2</v>
      </c>
      <c r="E64" s="98">
        <f>E63+E60</f>
        <v>3293.0864000000001</v>
      </c>
      <c r="F64" s="97"/>
      <c r="G64" s="466">
        <f t="shared" si="1"/>
        <v>0</v>
      </c>
      <c r="J64" s="98"/>
      <c r="K64" s="98"/>
      <c r="Q64" s="505"/>
    </row>
    <row r="65" spans="1:17" ht="39.6" x14ac:dyDescent="0.25">
      <c r="A65" s="490" t="s">
        <v>1152</v>
      </c>
      <c r="B65" s="418">
        <v>162751139</v>
      </c>
      <c r="C65" s="133" t="s">
        <v>2616</v>
      </c>
      <c r="D65" s="28" t="s">
        <v>2</v>
      </c>
      <c r="E65" s="98">
        <v>476</v>
      </c>
      <c r="F65" s="97"/>
      <c r="G65" s="466">
        <f t="shared" si="1"/>
        <v>0</v>
      </c>
      <c r="J65" s="98"/>
      <c r="K65" s="98"/>
      <c r="Q65" s="505"/>
    </row>
    <row r="66" spans="1:17" ht="52.8" x14ac:dyDescent="0.25">
      <c r="A66" s="490" t="s">
        <v>1157</v>
      </c>
      <c r="B66" s="418">
        <v>162751139</v>
      </c>
      <c r="C66" s="133" t="s">
        <v>2617</v>
      </c>
      <c r="D66" s="28" t="s">
        <v>2</v>
      </c>
      <c r="E66" s="98">
        <v>2817</v>
      </c>
      <c r="F66" s="97"/>
      <c r="G66" s="466">
        <f t="shared" si="1"/>
        <v>0</v>
      </c>
      <c r="J66" s="98"/>
      <c r="K66" s="98"/>
      <c r="Q66" s="505"/>
    </row>
    <row r="67" spans="1:17" ht="26.4" x14ac:dyDescent="0.25">
      <c r="A67" s="490" t="s">
        <v>1162</v>
      </c>
      <c r="B67" s="418">
        <v>171201231</v>
      </c>
      <c r="C67" s="133" t="s">
        <v>2449</v>
      </c>
      <c r="D67" s="28" t="s">
        <v>45</v>
      </c>
      <c r="E67" s="98">
        <f>2417*0.3*1.5</f>
        <v>1087.6500000000001</v>
      </c>
      <c r="F67" s="97"/>
      <c r="G67" s="466">
        <f t="shared" si="1"/>
        <v>0</v>
      </c>
      <c r="J67" s="98"/>
      <c r="K67" s="98"/>
      <c r="Q67" s="505"/>
    </row>
    <row r="68" spans="1:17" ht="26.4" x14ac:dyDescent="0.25">
      <c r="A68" s="490" t="s">
        <v>1167</v>
      </c>
      <c r="B68" s="418">
        <v>997221625</v>
      </c>
      <c r="C68" s="133" t="s">
        <v>2618</v>
      </c>
      <c r="D68" s="28" t="s">
        <v>45</v>
      </c>
      <c r="E68" s="98">
        <f>476*1.9</f>
        <v>904.4</v>
      </c>
      <c r="F68" s="97"/>
      <c r="G68" s="466">
        <f t="shared" si="1"/>
        <v>0</v>
      </c>
      <c r="J68" s="98"/>
      <c r="K68" s="98"/>
      <c r="Q68" s="505"/>
    </row>
    <row r="69" spans="1:17" ht="39.6" x14ac:dyDescent="0.25">
      <c r="A69" s="490" t="s">
        <v>1172</v>
      </c>
      <c r="B69" s="418" t="s">
        <v>2619</v>
      </c>
      <c r="C69" s="133" t="s">
        <v>2620</v>
      </c>
      <c r="D69" s="28" t="s">
        <v>45</v>
      </c>
      <c r="E69" s="98">
        <f>2817*1.3</f>
        <v>3662.1</v>
      </c>
      <c r="F69" s="97"/>
      <c r="G69" s="466">
        <f t="shared" si="1"/>
        <v>0</v>
      </c>
      <c r="J69" s="98"/>
      <c r="K69" s="98"/>
      <c r="Q69" s="505"/>
    </row>
    <row r="70" spans="1:17" ht="26.4" x14ac:dyDescent="0.25">
      <c r="A70" s="490" t="s">
        <v>1177</v>
      </c>
      <c r="B70" s="418">
        <v>171152501</v>
      </c>
      <c r="C70" s="133" t="s">
        <v>2450</v>
      </c>
      <c r="D70" s="28" t="s">
        <v>15</v>
      </c>
      <c r="E70" s="98">
        <v>2630</v>
      </c>
      <c r="F70" s="97"/>
      <c r="G70" s="466">
        <f t="shared" si="1"/>
        <v>0</v>
      </c>
      <c r="J70" s="98"/>
      <c r="K70" s="98"/>
      <c r="Q70" s="505"/>
    </row>
    <row r="71" spans="1:17" x14ac:dyDescent="0.25">
      <c r="A71" s="490" t="s">
        <v>1183</v>
      </c>
      <c r="B71" s="418">
        <v>119004111</v>
      </c>
      <c r="C71" s="133" t="s">
        <v>2451</v>
      </c>
      <c r="D71" s="28" t="s">
        <v>26</v>
      </c>
      <c r="E71" s="98">
        <v>10</v>
      </c>
      <c r="F71" s="97"/>
      <c r="G71" s="466">
        <f t="shared" si="1"/>
        <v>0</v>
      </c>
      <c r="J71" s="98"/>
      <c r="K71" s="98"/>
      <c r="Q71" s="505"/>
    </row>
    <row r="72" spans="1:17" x14ac:dyDescent="0.25">
      <c r="A72" s="490" t="s">
        <v>1188</v>
      </c>
      <c r="B72" s="418"/>
      <c r="J72" s="98"/>
      <c r="K72" s="98"/>
      <c r="Q72" s="505"/>
    </row>
    <row r="73" spans="1:17" x14ac:dyDescent="0.25">
      <c r="A73" s="490" t="s">
        <v>1193</v>
      </c>
      <c r="B73" s="418"/>
      <c r="J73" s="98"/>
      <c r="K73" s="98"/>
      <c r="Q73" s="505"/>
    </row>
    <row r="74" spans="1:17" ht="105.6" x14ac:dyDescent="0.25">
      <c r="A74" s="490" t="s">
        <v>1198</v>
      </c>
      <c r="B74" s="418" t="s">
        <v>391</v>
      </c>
      <c r="C74" s="21" t="s">
        <v>265</v>
      </c>
      <c r="D74" s="28" t="s">
        <v>2</v>
      </c>
      <c r="E74" s="98">
        <f>2630*1.6+1.28*61.31-1.28*159.68+21.9*23.29-14.18*7-9.54*6.35-0.5*6.6-25*2.1-(0.3*1.45*0.9*10+0.15*1.45*0.6*2+1.8*1.95*1.03+0.5*0.9*12.3+9.4*1.35*0.15+(0.23+0.11+0.18)*1.35)</f>
        <v>4360.5665999999992</v>
      </c>
      <c r="G74" s="93">
        <f>E74*F74</f>
        <v>0</v>
      </c>
      <c r="J74" s="98"/>
      <c r="K74" s="98"/>
      <c r="Q74" s="505"/>
    </row>
    <row r="75" spans="1:17" x14ac:dyDescent="0.25">
      <c r="A75" s="490" t="s">
        <v>1204</v>
      </c>
      <c r="B75" s="34">
        <v>58344171</v>
      </c>
      <c r="C75" s="21" t="s">
        <v>2624</v>
      </c>
      <c r="D75" s="28" t="s">
        <v>392</v>
      </c>
      <c r="E75" s="98">
        <f>E74*2.054</f>
        <v>8956.603796399997</v>
      </c>
      <c r="G75" s="93">
        <f>E75*F75</f>
        <v>0</v>
      </c>
      <c r="J75" s="98"/>
      <c r="K75" s="98"/>
      <c r="Q75" s="505"/>
    </row>
    <row r="76" spans="1:17" ht="26.4" x14ac:dyDescent="0.25">
      <c r="A76" s="490" t="s">
        <v>1208</v>
      </c>
      <c r="B76" s="34"/>
      <c r="C76" s="641" t="s">
        <v>2625</v>
      </c>
      <c r="J76" s="98"/>
      <c r="K76" s="98"/>
      <c r="Q76" s="505"/>
    </row>
    <row r="77" spans="1:17" x14ac:dyDescent="0.25">
      <c r="A77" s="490" t="s">
        <v>1212</v>
      </c>
      <c r="B77" s="418">
        <v>181351005</v>
      </c>
      <c r="C77" s="21" t="s">
        <v>138</v>
      </c>
      <c r="D77" s="28" t="s">
        <v>15</v>
      </c>
      <c r="E77" s="98">
        <f>(41.41+34.56+8*2+6+61.31*1.6+7.66*13.25+16.03*5.75+17.35*3+118.69+153.37+2.25*8)</f>
        <v>731.84350000000006</v>
      </c>
      <c r="G77" s="93">
        <f>E77*F77</f>
        <v>0</v>
      </c>
      <c r="J77" s="98"/>
      <c r="K77" s="98"/>
      <c r="Q77" s="505"/>
    </row>
    <row r="78" spans="1:17" x14ac:dyDescent="0.25">
      <c r="A78" s="490" t="s">
        <v>1216</v>
      </c>
      <c r="B78" s="418"/>
      <c r="J78" s="98"/>
      <c r="K78" s="98"/>
      <c r="Q78" s="505"/>
    </row>
    <row r="79" spans="1:17" x14ac:dyDescent="0.25">
      <c r="A79" s="490" t="s">
        <v>1221</v>
      </c>
      <c r="B79" s="418"/>
      <c r="C79" s="133" t="s">
        <v>398</v>
      </c>
      <c r="J79" s="98"/>
      <c r="K79" s="98"/>
      <c r="Q79" s="505"/>
    </row>
    <row r="80" spans="1:17" ht="26.4" x14ac:dyDescent="0.25">
      <c r="A80" s="490" t="s">
        <v>1225</v>
      </c>
      <c r="B80" s="418">
        <v>113106111</v>
      </c>
      <c r="C80" s="133" t="s">
        <v>597</v>
      </c>
      <c r="D80" s="28" t="s">
        <v>15</v>
      </c>
      <c r="E80" s="98">
        <f>146.97+51.06+138</f>
        <v>336.03</v>
      </c>
      <c r="G80" s="93">
        <f>E80*F80</f>
        <v>0</v>
      </c>
      <c r="H80" s="96">
        <f>0.281*E80</f>
        <v>94.424430000000001</v>
      </c>
      <c r="J80" s="98"/>
      <c r="K80" s="98"/>
      <c r="Q80" s="505"/>
    </row>
    <row r="81" spans="1:17" x14ac:dyDescent="0.25">
      <c r="A81" s="490" t="s">
        <v>1230</v>
      </c>
      <c r="B81" s="418"/>
      <c r="C81" s="21" t="s">
        <v>395</v>
      </c>
      <c r="J81" s="98"/>
      <c r="K81" s="98"/>
      <c r="Q81" s="505"/>
    </row>
    <row r="82" spans="1:17" x14ac:dyDescent="0.25">
      <c r="A82" s="490" t="s">
        <v>1236</v>
      </c>
      <c r="B82" s="418">
        <v>979071131</v>
      </c>
      <c r="C82" s="21" t="s">
        <v>598</v>
      </c>
      <c r="D82" s="28" t="s">
        <v>15</v>
      </c>
      <c r="E82" s="98">
        <f>146.97+51.06+138</f>
        <v>336.03</v>
      </c>
      <c r="G82" s="93">
        <f>E82*F82</f>
        <v>0</v>
      </c>
      <c r="H82" s="96">
        <f>0*E82</f>
        <v>0</v>
      </c>
      <c r="J82" s="98"/>
      <c r="K82" s="98"/>
      <c r="Q82" s="505"/>
    </row>
    <row r="83" spans="1:17" ht="26.4" x14ac:dyDescent="0.25">
      <c r="A83" s="490" t="s">
        <v>1258</v>
      </c>
      <c r="B83" s="418">
        <v>113201111</v>
      </c>
      <c r="C83" s="133" t="s">
        <v>599</v>
      </c>
      <c r="D83" s="28" t="s">
        <v>28</v>
      </c>
      <c r="E83" s="98">
        <f>64.5+22.85+47.65</f>
        <v>135</v>
      </c>
      <c r="G83" s="93">
        <f>E83*F83</f>
        <v>0</v>
      </c>
      <c r="H83" s="96">
        <f>0.23*E83</f>
        <v>31.05</v>
      </c>
      <c r="J83" s="98"/>
      <c r="K83" s="98"/>
      <c r="Q83" s="505"/>
    </row>
    <row r="84" spans="1:17" x14ac:dyDescent="0.25">
      <c r="A84" s="490" t="s">
        <v>1262</v>
      </c>
      <c r="B84" s="418"/>
      <c r="C84" s="21" t="s">
        <v>396</v>
      </c>
      <c r="J84" s="98"/>
      <c r="K84" s="98"/>
      <c r="Q84" s="505"/>
    </row>
    <row r="85" spans="1:17" x14ac:dyDescent="0.25">
      <c r="A85" s="490" t="s">
        <v>1266</v>
      </c>
      <c r="B85" s="418">
        <v>460912211</v>
      </c>
      <c r="C85" s="21" t="s">
        <v>600</v>
      </c>
      <c r="D85" s="28" t="s">
        <v>28</v>
      </c>
      <c r="E85" s="98">
        <f>64.5+22.85+47.65</f>
        <v>135</v>
      </c>
      <c r="G85" s="93">
        <f>E85*F85</f>
        <v>0</v>
      </c>
      <c r="H85" s="96">
        <f>0*E85</f>
        <v>0</v>
      </c>
      <c r="J85" s="98"/>
      <c r="K85" s="98"/>
      <c r="Q85" s="505"/>
    </row>
    <row r="86" spans="1:17" ht="39.6" x14ac:dyDescent="0.25">
      <c r="A86" s="490" t="s">
        <v>1270</v>
      </c>
      <c r="B86" s="418">
        <v>997221571</v>
      </c>
      <c r="C86" s="21" t="s">
        <v>601</v>
      </c>
      <c r="D86" s="28" t="s">
        <v>45</v>
      </c>
      <c r="E86" s="98">
        <f>H80</f>
        <v>94.424430000000001</v>
      </c>
      <c r="G86" s="93">
        <f>E86*F86</f>
        <v>0</v>
      </c>
      <c r="H86" s="96">
        <f>0*E86</f>
        <v>0</v>
      </c>
      <c r="J86" s="98"/>
      <c r="K86" s="98"/>
      <c r="Q86" s="505"/>
    </row>
    <row r="87" spans="1:17" ht="39.6" x14ac:dyDescent="0.25">
      <c r="A87" s="490" t="s">
        <v>1274</v>
      </c>
      <c r="B87" s="418">
        <v>997221571</v>
      </c>
      <c r="C87" s="21" t="s">
        <v>2459</v>
      </c>
      <c r="D87" s="28" t="s">
        <v>45</v>
      </c>
      <c r="E87" s="22">
        <f>H83</f>
        <v>31.05</v>
      </c>
      <c r="G87" s="93">
        <f>E87*F87</f>
        <v>0</v>
      </c>
      <c r="H87" s="96">
        <f>0*E87</f>
        <v>0</v>
      </c>
      <c r="J87" s="98"/>
      <c r="K87" s="98"/>
      <c r="Q87" s="505"/>
    </row>
    <row r="88" spans="1:17" x14ac:dyDescent="0.25">
      <c r="A88" s="490" t="s">
        <v>1278</v>
      </c>
      <c r="B88" s="418"/>
      <c r="E88" s="22"/>
      <c r="J88" s="98"/>
      <c r="K88" s="98"/>
      <c r="Q88" s="505"/>
    </row>
    <row r="89" spans="1:17" ht="26.4" x14ac:dyDescent="0.25">
      <c r="A89" s="490" t="s">
        <v>1288</v>
      </c>
      <c r="B89" s="418">
        <v>113106123</v>
      </c>
      <c r="C89" s="133" t="s">
        <v>2458</v>
      </c>
      <c r="D89" s="28" t="s">
        <v>15</v>
      </c>
      <c r="E89" s="98">
        <f>121+269+75.26+74.65+132.4+12.5+28</f>
        <v>712.81</v>
      </c>
      <c r="G89" s="93">
        <f>E89*F89</f>
        <v>0</v>
      </c>
      <c r="H89" s="96">
        <f>0.26*E89</f>
        <v>185.3306</v>
      </c>
      <c r="J89" s="98"/>
      <c r="K89" s="98"/>
      <c r="Q89" s="505"/>
    </row>
    <row r="90" spans="1:17" ht="39.6" x14ac:dyDescent="0.25">
      <c r="A90" s="490" t="s">
        <v>1292</v>
      </c>
      <c r="B90" s="418"/>
      <c r="C90" s="21" t="s">
        <v>429</v>
      </c>
      <c r="J90" s="98"/>
      <c r="K90" s="98"/>
      <c r="Q90" s="505"/>
    </row>
    <row r="91" spans="1:17" ht="22.8" x14ac:dyDescent="0.25">
      <c r="A91" s="490" t="s">
        <v>1298</v>
      </c>
      <c r="B91" s="418" t="s">
        <v>139</v>
      </c>
      <c r="C91" s="21" t="s">
        <v>602</v>
      </c>
      <c r="D91" s="28" t="s">
        <v>15</v>
      </c>
      <c r="E91" s="98">
        <f>E89</f>
        <v>712.81</v>
      </c>
      <c r="G91" s="93">
        <f>E91*F91</f>
        <v>0</v>
      </c>
      <c r="H91" s="96">
        <v>0</v>
      </c>
      <c r="J91" s="98"/>
      <c r="K91" s="98"/>
      <c r="Q91" s="505"/>
    </row>
    <row r="92" spans="1:17" ht="39.6" x14ac:dyDescent="0.25">
      <c r="A92" s="490" t="s">
        <v>1302</v>
      </c>
      <c r="B92" s="418">
        <v>997221571</v>
      </c>
      <c r="C92" s="133" t="s">
        <v>397</v>
      </c>
      <c r="D92" s="28" t="s">
        <v>45</v>
      </c>
      <c r="E92" s="22">
        <f>H89</f>
        <v>185.3306</v>
      </c>
      <c r="G92" s="93">
        <f>E92*F92</f>
        <v>0</v>
      </c>
      <c r="H92" s="96">
        <f>0*E92</f>
        <v>0</v>
      </c>
      <c r="J92" s="98"/>
      <c r="K92" s="98"/>
      <c r="Q92" s="505"/>
    </row>
    <row r="93" spans="1:17" ht="39.6" x14ac:dyDescent="0.25">
      <c r="A93" s="490" t="s">
        <v>1307</v>
      </c>
      <c r="B93" s="418">
        <v>113201111</v>
      </c>
      <c r="C93" s="133" t="s">
        <v>394</v>
      </c>
      <c r="D93" s="28" t="s">
        <v>140</v>
      </c>
      <c r="E93" s="28">
        <f>168+4.5+24</f>
        <v>196.5</v>
      </c>
      <c r="G93" s="93">
        <f>E93*F93</f>
        <v>0</v>
      </c>
      <c r="H93" s="96">
        <f>0.23*E93</f>
        <v>45.195</v>
      </c>
      <c r="J93" s="98"/>
      <c r="K93" s="98"/>
      <c r="Q93" s="505"/>
    </row>
    <row r="94" spans="1:17" ht="39.6" x14ac:dyDescent="0.25">
      <c r="A94" s="490" t="s">
        <v>1313</v>
      </c>
      <c r="B94" s="418"/>
      <c r="C94" s="21" t="s">
        <v>676</v>
      </c>
      <c r="J94" s="98"/>
      <c r="K94" s="98"/>
      <c r="Q94" s="505"/>
    </row>
    <row r="95" spans="1:17" ht="26.4" x14ac:dyDescent="0.25">
      <c r="A95" s="490" t="s">
        <v>1318</v>
      </c>
      <c r="B95" s="418">
        <v>113201112</v>
      </c>
      <c r="C95" s="133" t="s">
        <v>675</v>
      </c>
      <c r="D95" s="28" t="s">
        <v>28</v>
      </c>
      <c r="E95" s="98">
        <f>55.15+51.55+41.02+25+33</f>
        <v>205.72</v>
      </c>
      <c r="G95" s="93">
        <f>E95*F95</f>
        <v>0</v>
      </c>
      <c r="H95" s="96">
        <f>0.23*E95</f>
        <v>47.315600000000003</v>
      </c>
      <c r="J95" s="98"/>
      <c r="K95" s="98"/>
      <c r="Q95" s="505"/>
    </row>
    <row r="96" spans="1:17" ht="26.4" x14ac:dyDescent="0.25">
      <c r="A96" s="490" t="s">
        <v>1323</v>
      </c>
      <c r="B96" s="418"/>
      <c r="C96" s="21" t="s">
        <v>677</v>
      </c>
      <c r="J96" s="98"/>
      <c r="K96" s="98"/>
      <c r="Q96" s="505"/>
    </row>
    <row r="97" spans="1:17" x14ac:dyDescent="0.25">
      <c r="A97" s="490" t="s">
        <v>1329</v>
      </c>
      <c r="B97" s="418">
        <v>460912211</v>
      </c>
      <c r="C97" s="21" t="s">
        <v>2455</v>
      </c>
      <c r="D97" s="28" t="s">
        <v>28</v>
      </c>
      <c r="E97" s="98">
        <f>E93</f>
        <v>196.5</v>
      </c>
      <c r="G97" s="93">
        <f>E97*F97</f>
        <v>0</v>
      </c>
      <c r="H97" s="96">
        <f>0*E97</f>
        <v>0</v>
      </c>
      <c r="J97" s="98"/>
      <c r="K97" s="98"/>
      <c r="Q97" s="505"/>
    </row>
    <row r="98" spans="1:17" x14ac:dyDescent="0.25">
      <c r="A98" s="490" t="s">
        <v>1333</v>
      </c>
      <c r="B98" s="418">
        <v>460912111</v>
      </c>
      <c r="C98" s="133" t="s">
        <v>2456</v>
      </c>
      <c r="D98" s="28" t="s">
        <v>28</v>
      </c>
      <c r="E98" s="98">
        <f>E95</f>
        <v>205.72</v>
      </c>
      <c r="G98" s="93">
        <f>E98*F98</f>
        <v>0</v>
      </c>
      <c r="H98" s="96">
        <f>0*E98</f>
        <v>0</v>
      </c>
      <c r="J98" s="98"/>
      <c r="K98" s="98"/>
      <c r="Q98" s="505"/>
    </row>
    <row r="99" spans="1:17" ht="26.4" x14ac:dyDescent="0.25">
      <c r="A99" s="490" t="s">
        <v>696</v>
      </c>
      <c r="B99" s="418">
        <v>997221571</v>
      </c>
      <c r="C99" s="133" t="s">
        <v>2457</v>
      </c>
      <c r="D99" s="28" t="s">
        <v>45</v>
      </c>
      <c r="E99" s="98">
        <f>H93</f>
        <v>45.195</v>
      </c>
      <c r="G99" s="93">
        <f>E99*F99</f>
        <v>0</v>
      </c>
      <c r="H99" s="96">
        <v>0</v>
      </c>
      <c r="J99" s="98"/>
      <c r="K99" s="98"/>
      <c r="Q99" s="505"/>
    </row>
    <row r="100" spans="1:17" ht="39.6" x14ac:dyDescent="0.25">
      <c r="A100" s="490" t="s">
        <v>1348</v>
      </c>
      <c r="B100" s="418"/>
      <c r="C100" s="21" t="s">
        <v>124</v>
      </c>
      <c r="J100" s="98"/>
      <c r="K100" s="98"/>
      <c r="Q100" s="505"/>
    </row>
    <row r="101" spans="1:17" ht="26.4" x14ac:dyDescent="0.25">
      <c r="A101" s="490" t="s">
        <v>1353</v>
      </c>
      <c r="B101" s="418">
        <v>113107242</v>
      </c>
      <c r="C101" s="133" t="s">
        <v>2452</v>
      </c>
      <c r="D101" s="28" t="s">
        <v>15</v>
      </c>
      <c r="E101" s="98">
        <f>360.62+39</f>
        <v>399.62</v>
      </c>
      <c r="G101" s="93">
        <f>E101*F101</f>
        <v>0</v>
      </c>
      <c r="H101" s="96">
        <f>0.22*E101</f>
        <v>87.916399999999996</v>
      </c>
      <c r="J101" s="98"/>
      <c r="K101" s="98"/>
    </row>
    <row r="102" spans="1:17" x14ac:dyDescent="0.25">
      <c r="A102" s="490" t="s">
        <v>1358</v>
      </c>
      <c r="B102" s="418">
        <v>997221561</v>
      </c>
      <c r="C102" s="133" t="s">
        <v>2453</v>
      </c>
      <c r="D102" s="28" t="s">
        <v>45</v>
      </c>
      <c r="E102" s="32">
        <v>87.92</v>
      </c>
      <c r="G102" s="93">
        <f>E102*F102</f>
        <v>0</v>
      </c>
      <c r="H102" s="96">
        <v>0</v>
      </c>
      <c r="J102" s="98"/>
      <c r="K102" s="98"/>
    </row>
    <row r="103" spans="1:17" ht="26.4" x14ac:dyDescent="0.25">
      <c r="A103" s="490" t="s">
        <v>1363</v>
      </c>
      <c r="B103" s="418">
        <v>997221569</v>
      </c>
      <c r="C103" s="133" t="s">
        <v>2621</v>
      </c>
      <c r="D103" s="28" t="s">
        <v>45</v>
      </c>
      <c r="E103" s="32">
        <f>E102</f>
        <v>87.92</v>
      </c>
      <c r="G103" s="93">
        <f>E103*F103</f>
        <v>0</v>
      </c>
      <c r="H103" s="96">
        <v>0</v>
      </c>
      <c r="J103" s="98"/>
      <c r="K103" s="98"/>
    </row>
    <row r="104" spans="1:17" ht="26.4" x14ac:dyDescent="0.25">
      <c r="A104" s="490" t="s">
        <v>1367</v>
      </c>
      <c r="B104" s="418">
        <v>997013645</v>
      </c>
      <c r="C104" s="133" t="s">
        <v>603</v>
      </c>
      <c r="D104" s="469" t="s">
        <v>45</v>
      </c>
      <c r="E104" s="98">
        <f>H101</f>
        <v>87.916399999999996</v>
      </c>
      <c r="G104" s="93">
        <f>E104*F104</f>
        <v>0</v>
      </c>
      <c r="H104" s="96">
        <v>0</v>
      </c>
      <c r="J104" s="98"/>
      <c r="K104" s="98"/>
    </row>
    <row r="105" spans="1:17" ht="39.6" x14ac:dyDescent="0.25">
      <c r="A105" s="490" t="s">
        <v>1375</v>
      </c>
      <c r="B105" s="418"/>
      <c r="C105" s="133" t="s">
        <v>2454</v>
      </c>
      <c r="J105" s="98"/>
      <c r="K105" s="98"/>
    </row>
    <row r="106" spans="1:17" ht="26.4" x14ac:dyDescent="0.25">
      <c r="A106" s="490" t="s">
        <v>1381</v>
      </c>
      <c r="B106" s="418">
        <v>113107224</v>
      </c>
      <c r="C106" s="133" t="s">
        <v>604</v>
      </c>
      <c r="D106" s="28" t="s">
        <v>15</v>
      </c>
      <c r="E106" s="98">
        <f>360.62+269</f>
        <v>629.62</v>
      </c>
      <c r="G106" s="93">
        <f>E106*F106</f>
        <v>0</v>
      </c>
      <c r="H106" s="96">
        <f>0.58*E106</f>
        <v>365.17959999999999</v>
      </c>
      <c r="J106" s="98"/>
      <c r="K106" s="98"/>
    </row>
    <row r="107" spans="1:17" ht="39.6" x14ac:dyDescent="0.25">
      <c r="A107" s="490" t="s">
        <v>1386</v>
      </c>
      <c r="B107" s="418">
        <v>113107163</v>
      </c>
      <c r="C107" s="133" t="s">
        <v>605</v>
      </c>
      <c r="D107" s="28" t="s">
        <v>15</v>
      </c>
      <c r="E107" s="98">
        <f>(146.97+51+138+121+75.26+74.65+132.4+12.5+28)</f>
        <v>779.78</v>
      </c>
      <c r="G107" s="93">
        <f>E107*F107</f>
        <v>0</v>
      </c>
      <c r="H107" s="96">
        <f>0.44*E107</f>
        <v>343.10320000000002</v>
      </c>
      <c r="J107" s="98"/>
      <c r="K107" s="98"/>
    </row>
    <row r="108" spans="1:17" ht="39.6" x14ac:dyDescent="0.25">
      <c r="A108" s="490" t="s">
        <v>1391</v>
      </c>
      <c r="B108" s="418">
        <v>997221551</v>
      </c>
      <c r="C108" s="133" t="s">
        <v>606</v>
      </c>
      <c r="D108" s="28" t="s">
        <v>45</v>
      </c>
      <c r="E108" s="98">
        <f>(H106+H107)*2</f>
        <v>1416.5655999999999</v>
      </c>
      <c r="G108" s="93">
        <f>E108*F108</f>
        <v>0</v>
      </c>
      <c r="H108" s="96">
        <v>0</v>
      </c>
      <c r="J108" s="98"/>
      <c r="K108" s="98"/>
    </row>
    <row r="109" spans="1:17" ht="39.6" x14ac:dyDescent="0.25">
      <c r="A109" s="490" t="s">
        <v>1399</v>
      </c>
      <c r="B109" s="418">
        <v>174151102</v>
      </c>
      <c r="C109" s="21" t="s">
        <v>2323</v>
      </c>
      <c r="D109" s="28" t="s">
        <v>2</v>
      </c>
      <c r="E109" s="98">
        <f>0.34*(360.62+269+146.97+51.06+138+121+75.26+74.65+ 132.4+  12.5 + 28)</f>
        <v>479.21640000000014</v>
      </c>
      <c r="F109" s="97"/>
      <c r="G109" s="93">
        <f>E109*F109</f>
        <v>0</v>
      </c>
      <c r="H109" s="96">
        <v>0</v>
      </c>
      <c r="I109" s="32"/>
      <c r="J109" s="98"/>
      <c r="K109" s="98"/>
      <c r="Q109" s="505"/>
    </row>
    <row r="110" spans="1:17" x14ac:dyDescent="0.25">
      <c r="A110" s="490" t="s">
        <v>1404</v>
      </c>
      <c r="B110" s="418"/>
      <c r="F110" s="97"/>
      <c r="G110" s="466"/>
      <c r="I110" s="32"/>
      <c r="J110" s="98"/>
      <c r="K110" s="98"/>
      <c r="Q110" s="505"/>
    </row>
    <row r="111" spans="1:17" ht="26.4" x14ac:dyDescent="0.25">
      <c r="A111" s="490" t="s">
        <v>1409</v>
      </c>
      <c r="B111" s="418" t="s">
        <v>389</v>
      </c>
      <c r="C111" s="21" t="s">
        <v>390</v>
      </c>
      <c r="D111" s="28" t="s">
        <v>26</v>
      </c>
      <c r="E111" s="98">
        <v>1</v>
      </c>
      <c r="F111" s="97"/>
      <c r="G111" s="466">
        <f t="shared" ref="G111:G117" si="2">E111*F111</f>
        <v>0</v>
      </c>
      <c r="H111" s="96">
        <v>0</v>
      </c>
      <c r="I111" s="32"/>
      <c r="J111" s="98"/>
      <c r="K111" s="98"/>
      <c r="Q111" s="505"/>
    </row>
    <row r="112" spans="1:17" ht="26.4" x14ac:dyDescent="0.25">
      <c r="A112" s="490" t="s">
        <v>1414</v>
      </c>
      <c r="B112" s="34">
        <v>767996703</v>
      </c>
      <c r="C112" s="21" t="s">
        <v>279</v>
      </c>
      <c r="D112" s="28" t="s">
        <v>51</v>
      </c>
      <c r="E112" s="98">
        <v>420</v>
      </c>
      <c r="G112" s="93">
        <f t="shared" si="2"/>
        <v>0</v>
      </c>
      <c r="J112" s="98"/>
    </row>
    <row r="113" spans="1:17" x14ac:dyDescent="0.25">
      <c r="A113" s="490" t="s">
        <v>1419</v>
      </c>
      <c r="B113" s="34">
        <v>997013511</v>
      </c>
      <c r="C113" s="21" t="s">
        <v>278</v>
      </c>
      <c r="D113" s="28" t="s">
        <v>45</v>
      </c>
      <c r="E113" s="32">
        <v>0.42</v>
      </c>
      <c r="G113" s="93">
        <f t="shared" si="2"/>
        <v>0</v>
      </c>
      <c r="J113" s="98"/>
    </row>
    <row r="114" spans="1:17" x14ac:dyDescent="0.25">
      <c r="A114" s="490" t="s">
        <v>1424</v>
      </c>
      <c r="B114" s="34">
        <v>41121867</v>
      </c>
      <c r="C114" s="21" t="s">
        <v>376</v>
      </c>
      <c r="D114" s="28" t="s">
        <v>28</v>
      </c>
      <c r="E114" s="98">
        <v>95</v>
      </c>
      <c r="G114" s="93">
        <f t="shared" si="2"/>
        <v>0</v>
      </c>
      <c r="J114" s="98"/>
      <c r="K114" s="98"/>
      <c r="Q114" s="505"/>
    </row>
    <row r="115" spans="1:17" s="116" customFormat="1" x14ac:dyDescent="0.25">
      <c r="A115" s="490" t="s">
        <v>1433</v>
      </c>
      <c r="B115" s="156" t="s">
        <v>360</v>
      </c>
      <c r="C115" s="421" t="s">
        <v>2540</v>
      </c>
      <c r="D115" s="421" t="s">
        <v>358</v>
      </c>
      <c r="E115" s="421">
        <f>72+72</f>
        <v>144</v>
      </c>
      <c r="F115" s="446"/>
      <c r="G115" s="446">
        <f t="shared" si="2"/>
        <v>0</v>
      </c>
      <c r="H115" s="618"/>
    </row>
    <row r="116" spans="1:17" s="515" customFormat="1" ht="26.4" x14ac:dyDescent="0.25">
      <c r="A116" s="490" t="s">
        <v>1438</v>
      </c>
      <c r="B116" s="120"/>
      <c r="C116" s="435" t="s">
        <v>2541</v>
      </c>
      <c r="D116" s="435" t="s">
        <v>26</v>
      </c>
      <c r="E116" s="474">
        <v>1</v>
      </c>
      <c r="F116" s="642"/>
      <c r="G116" s="465">
        <f t="shared" si="2"/>
        <v>0</v>
      </c>
      <c r="H116" s="619"/>
    </row>
    <row r="117" spans="1:17" s="21" customFormat="1" x14ac:dyDescent="0.25">
      <c r="A117" s="490" t="s">
        <v>1443</v>
      </c>
      <c r="B117" s="27"/>
      <c r="C117" s="21" t="s">
        <v>669</v>
      </c>
      <c r="D117" s="21" t="s">
        <v>26</v>
      </c>
      <c r="E117" s="21">
        <v>1</v>
      </c>
      <c r="F117" s="97"/>
      <c r="G117" s="465">
        <f t="shared" si="2"/>
        <v>0</v>
      </c>
      <c r="H117" s="97"/>
    </row>
    <row r="118" spans="1:17" x14ac:dyDescent="0.25">
      <c r="J118" s="98"/>
      <c r="K118" s="98"/>
      <c r="Q118" s="505"/>
    </row>
    <row r="119" spans="1:17" x14ac:dyDescent="0.25">
      <c r="J119" s="98"/>
      <c r="K119" s="98"/>
      <c r="Q119" s="505"/>
    </row>
    <row r="120" spans="1:17" x14ac:dyDescent="0.25">
      <c r="J120" s="98"/>
      <c r="K120" s="98"/>
      <c r="Q120" s="505"/>
    </row>
    <row r="121" spans="1:17" x14ac:dyDescent="0.25">
      <c r="J121" s="98"/>
      <c r="K121" s="98"/>
      <c r="Q121" s="505"/>
    </row>
    <row r="122" spans="1:17" x14ac:dyDescent="0.25">
      <c r="J122" s="98"/>
      <c r="K122" s="98"/>
      <c r="Q122" s="505"/>
    </row>
    <row r="123" spans="1:17" x14ac:dyDescent="0.25">
      <c r="J123" s="98"/>
      <c r="K123" s="98"/>
      <c r="Q123" s="505"/>
    </row>
    <row r="124" spans="1:17" x14ac:dyDescent="0.25">
      <c r="J124" s="98"/>
      <c r="K124" s="98"/>
      <c r="Q124" s="505"/>
    </row>
    <row r="125" spans="1:17" x14ac:dyDescent="0.25">
      <c r="J125" s="98"/>
    </row>
    <row r="126" spans="1:17" x14ac:dyDescent="0.25">
      <c r="J126" s="98"/>
    </row>
    <row r="127" spans="1:17" x14ac:dyDescent="0.25">
      <c r="J127" s="98"/>
      <c r="K127" s="98"/>
      <c r="Q127" s="505"/>
    </row>
    <row r="128" spans="1:17" x14ac:dyDescent="0.25">
      <c r="J128" s="98"/>
      <c r="K128" s="98"/>
      <c r="Q128" s="505"/>
    </row>
    <row r="129" spans="10:17" x14ac:dyDescent="0.25">
      <c r="J129" s="98"/>
      <c r="K129" s="98"/>
      <c r="Q129" s="505"/>
    </row>
    <row r="130" spans="10:17" x14ac:dyDescent="0.25">
      <c r="J130" s="98"/>
      <c r="K130" s="98"/>
      <c r="Q130" s="505"/>
    </row>
    <row r="131" spans="10:17" x14ac:dyDescent="0.25">
      <c r="J131" s="98"/>
      <c r="K131" s="98"/>
      <c r="Q131" s="505"/>
    </row>
    <row r="132" spans="10:17" x14ac:dyDescent="0.25">
      <c r="J132" s="98"/>
      <c r="K132" s="98"/>
      <c r="Q132" s="505"/>
    </row>
    <row r="133" spans="10:17" x14ac:dyDescent="0.25">
      <c r="J133" s="98"/>
      <c r="K133" s="98"/>
      <c r="Q133" s="505"/>
    </row>
    <row r="134" spans="10:17" x14ac:dyDescent="0.25">
      <c r="J134" s="98"/>
    </row>
    <row r="135" spans="10:17" x14ac:dyDescent="0.25">
      <c r="J135" s="98"/>
      <c r="K135" s="98"/>
      <c r="M135" s="462"/>
      <c r="Q135" s="505"/>
    </row>
    <row r="136" spans="10:17" x14ac:dyDescent="0.25">
      <c r="J136" s="98"/>
      <c r="K136" s="98"/>
      <c r="Q136" s="505"/>
    </row>
    <row r="137" spans="10:17" x14ac:dyDescent="0.25">
      <c r="J137" s="98"/>
    </row>
    <row r="138" spans="10:17" x14ac:dyDescent="0.25">
      <c r="J138" s="98"/>
    </row>
    <row r="139" spans="10:17" x14ac:dyDescent="0.25">
      <c r="J139" s="98"/>
      <c r="K139" s="98"/>
      <c r="M139" s="462"/>
      <c r="Q139" s="505"/>
    </row>
    <row r="140" spans="10:17" x14ac:dyDescent="0.25">
      <c r="J140" s="98"/>
      <c r="K140" s="98"/>
      <c r="Q140" s="505"/>
    </row>
    <row r="141" spans="10:17" x14ac:dyDescent="0.25">
      <c r="J141" s="98"/>
      <c r="K141" s="98"/>
      <c r="Q141" s="505"/>
    </row>
    <row r="142" spans="10:17" x14ac:dyDescent="0.25">
      <c r="J142" s="98"/>
    </row>
    <row r="143" spans="10:17" x14ac:dyDescent="0.25">
      <c r="J143" s="98"/>
    </row>
    <row r="144" spans="10:17" x14ac:dyDescent="0.25">
      <c r="J144" s="98"/>
    </row>
    <row r="145" spans="10:17" x14ac:dyDescent="0.25">
      <c r="J145" s="98"/>
    </row>
    <row r="146" spans="10:17" x14ac:dyDescent="0.25">
      <c r="J146" s="98"/>
      <c r="K146" s="98"/>
      <c r="Q146" s="505"/>
    </row>
    <row r="147" spans="10:17" x14ac:dyDescent="0.25">
      <c r="J147" s="98"/>
      <c r="K147" s="98"/>
      <c r="Q147" s="505"/>
    </row>
    <row r="148" spans="10:17" x14ac:dyDescent="0.25">
      <c r="J148" s="98"/>
      <c r="K148" s="98"/>
      <c r="Q148" s="505"/>
    </row>
    <row r="149" spans="10:17" x14ac:dyDescent="0.25">
      <c r="J149" s="98"/>
      <c r="K149" s="98"/>
      <c r="Q149" s="505"/>
    </row>
    <row r="150" spans="10:17" x14ac:dyDescent="0.25">
      <c r="J150" s="98"/>
      <c r="K150" s="98"/>
      <c r="Q150" s="505"/>
    </row>
    <row r="151" spans="10:17" x14ac:dyDescent="0.25">
      <c r="J151" s="98"/>
    </row>
    <row r="152" spans="10:17" x14ac:dyDescent="0.25">
      <c r="J152" s="98"/>
      <c r="K152" s="98"/>
      <c r="Q152" s="505"/>
    </row>
    <row r="153" spans="10:17" x14ac:dyDescent="0.25">
      <c r="J153" s="98"/>
      <c r="K153" s="98"/>
      <c r="Q153" s="505"/>
    </row>
    <row r="154" spans="10:17" x14ac:dyDescent="0.25">
      <c r="J154" s="98"/>
      <c r="K154" s="98"/>
      <c r="Q154" s="505"/>
    </row>
    <row r="155" spans="10:17" x14ac:dyDescent="0.25">
      <c r="J155" s="98"/>
      <c r="K155" s="98"/>
      <c r="Q155" s="505"/>
    </row>
    <row r="156" spans="10:17" x14ac:dyDescent="0.25">
      <c r="J156" s="98"/>
      <c r="K156" s="98"/>
      <c r="Q156" s="505"/>
    </row>
    <row r="157" spans="10:17" x14ac:dyDescent="0.25">
      <c r="J157" s="98"/>
      <c r="K157" s="98"/>
      <c r="Q157" s="505"/>
    </row>
    <row r="158" spans="10:17" x14ac:dyDescent="0.25">
      <c r="J158" s="98"/>
      <c r="K158" s="98"/>
      <c r="Q158" s="505"/>
    </row>
    <row r="159" spans="10:17" x14ac:dyDescent="0.25">
      <c r="J159" s="98"/>
      <c r="K159" s="98"/>
      <c r="Q159" s="505"/>
    </row>
    <row r="160" spans="10:17" x14ac:dyDescent="0.25">
      <c r="J160" s="98"/>
      <c r="K160" s="98"/>
      <c r="Q160" s="505"/>
    </row>
    <row r="161" spans="10:17" x14ac:dyDescent="0.25">
      <c r="J161" s="98"/>
      <c r="K161" s="98"/>
      <c r="Q161" s="505"/>
    </row>
    <row r="162" spans="10:17" x14ac:dyDescent="0.25">
      <c r="J162" s="98"/>
      <c r="K162" s="98"/>
      <c r="Q162" s="505"/>
    </row>
    <row r="163" spans="10:17" x14ac:dyDescent="0.25">
      <c r="J163" s="98"/>
      <c r="K163" s="98"/>
      <c r="Q163" s="505"/>
    </row>
    <row r="164" spans="10:17" x14ac:dyDescent="0.25">
      <c r="J164" s="98"/>
      <c r="K164" s="98"/>
      <c r="Q164" s="505"/>
    </row>
    <row r="165" spans="10:17" x14ac:dyDescent="0.25">
      <c r="J165" s="98"/>
    </row>
    <row r="166" spans="10:17" x14ac:dyDescent="0.25">
      <c r="J166" s="98"/>
      <c r="K166" s="98"/>
      <c r="Q166" s="505"/>
    </row>
    <row r="167" spans="10:17" ht="13.95" customHeight="1" x14ac:dyDescent="0.25">
      <c r="J167" s="98"/>
    </row>
    <row r="168" spans="10:17" x14ac:dyDescent="0.25">
      <c r="J168" s="98"/>
      <c r="K168" s="98"/>
      <c r="M168" s="462"/>
      <c r="Q168" s="505"/>
    </row>
    <row r="169" spans="10:17" x14ac:dyDescent="0.25">
      <c r="J169" s="98"/>
      <c r="K169" s="98"/>
      <c r="Q169" s="505"/>
    </row>
    <row r="170" spans="10:17" x14ac:dyDescent="0.25">
      <c r="J170" s="98"/>
      <c r="K170" s="98"/>
      <c r="Q170" s="505"/>
    </row>
    <row r="171" spans="10:17" x14ac:dyDescent="0.25">
      <c r="J171" s="98"/>
      <c r="K171" s="98"/>
      <c r="Q171" s="505"/>
    </row>
    <row r="172" spans="10:17" x14ac:dyDescent="0.25">
      <c r="J172" s="98"/>
      <c r="K172" s="98"/>
      <c r="Q172" s="505"/>
    </row>
    <row r="173" spans="10:17" x14ac:dyDescent="0.25">
      <c r="J173" s="98"/>
    </row>
    <row r="174" spans="10:17" x14ac:dyDescent="0.25">
      <c r="J174" s="98"/>
      <c r="K174" s="98"/>
      <c r="Q174" s="505"/>
    </row>
    <row r="175" spans="10:17" x14ac:dyDescent="0.25">
      <c r="J175" s="98"/>
      <c r="K175" s="98"/>
      <c r="Q175" s="505"/>
    </row>
    <row r="176" spans="10:17" x14ac:dyDescent="0.25">
      <c r="J176" s="98"/>
      <c r="K176" s="98"/>
      <c r="Q176" s="505"/>
    </row>
    <row r="177" spans="10:17" x14ac:dyDescent="0.25">
      <c r="J177" s="98"/>
      <c r="K177" s="98"/>
      <c r="Q177" s="505"/>
    </row>
    <row r="178" spans="10:17" x14ac:dyDescent="0.25">
      <c r="J178" s="98"/>
    </row>
    <row r="179" spans="10:17" x14ac:dyDescent="0.25">
      <c r="J179" s="98"/>
    </row>
    <row r="180" spans="10:17" x14ac:dyDescent="0.25">
      <c r="J180" s="98"/>
    </row>
    <row r="181" spans="10:17" x14ac:dyDescent="0.25">
      <c r="J181" s="98"/>
      <c r="K181" s="98"/>
      <c r="M181" s="462"/>
      <c r="Q181" s="505"/>
    </row>
    <row r="182" spans="10:17" x14ac:dyDescent="0.25">
      <c r="J182" s="98"/>
      <c r="K182" s="98"/>
      <c r="Q182" s="505"/>
    </row>
    <row r="183" spans="10:17" x14ac:dyDescent="0.25">
      <c r="J183" s="98"/>
      <c r="K183" s="98"/>
      <c r="Q183" s="505"/>
    </row>
    <row r="184" spans="10:17" x14ac:dyDescent="0.25">
      <c r="J184" s="98"/>
      <c r="K184" s="98"/>
      <c r="Q184" s="505"/>
    </row>
    <row r="185" spans="10:17" x14ac:dyDescent="0.25">
      <c r="J185" s="98"/>
      <c r="K185" s="98"/>
      <c r="Q185" s="505"/>
    </row>
    <row r="186" spans="10:17" x14ac:dyDescent="0.25">
      <c r="J186" s="98"/>
      <c r="K186" s="98"/>
      <c r="Q186" s="505"/>
    </row>
    <row r="187" spans="10:17" x14ac:dyDescent="0.25">
      <c r="J187" s="98"/>
      <c r="K187" s="98"/>
      <c r="Q187" s="505"/>
    </row>
    <row r="188" spans="10:17" x14ac:dyDescent="0.25">
      <c r="J188" s="98"/>
      <c r="K188" s="98"/>
      <c r="Q188" s="505"/>
    </row>
    <row r="189" spans="10:17" x14ac:dyDescent="0.25">
      <c r="J189" s="98"/>
      <c r="K189" s="98"/>
      <c r="Q189" s="505"/>
    </row>
    <row r="190" spans="10:17" x14ac:dyDescent="0.25">
      <c r="J190" s="98"/>
      <c r="K190" s="98"/>
      <c r="Q190" s="505"/>
    </row>
    <row r="191" spans="10:17" x14ac:dyDescent="0.25">
      <c r="J191" s="98"/>
    </row>
    <row r="192" spans="10:17" x14ac:dyDescent="0.25">
      <c r="J192" s="98"/>
    </row>
    <row r="193" spans="10:17" x14ac:dyDescent="0.25">
      <c r="J193" s="98"/>
    </row>
    <row r="194" spans="10:17" x14ac:dyDescent="0.25">
      <c r="J194" s="98"/>
      <c r="K194" s="98"/>
      <c r="M194" s="462"/>
      <c r="Q194" s="505"/>
    </row>
    <row r="195" spans="10:17" x14ac:dyDescent="0.25">
      <c r="J195" s="98"/>
      <c r="K195" s="98"/>
      <c r="Q195" s="505"/>
    </row>
    <row r="196" spans="10:17" x14ac:dyDescent="0.25">
      <c r="J196" s="98"/>
      <c r="K196" s="98"/>
      <c r="Q196" s="505"/>
    </row>
    <row r="197" spans="10:17" x14ac:dyDescent="0.25">
      <c r="J197" s="98"/>
      <c r="K197" s="98"/>
      <c r="Q197" s="505"/>
    </row>
    <row r="198" spans="10:17" x14ac:dyDescent="0.25">
      <c r="J198" s="98"/>
      <c r="K198" s="98"/>
      <c r="Q198" s="505"/>
    </row>
    <row r="199" spans="10:17" x14ac:dyDescent="0.25">
      <c r="J199" s="98"/>
    </row>
    <row r="200" spans="10:17" x14ac:dyDescent="0.25">
      <c r="J200" s="98"/>
      <c r="K200" s="98"/>
      <c r="Q200" s="505"/>
    </row>
    <row r="201" spans="10:17" x14ac:dyDescent="0.25">
      <c r="J201" s="98"/>
      <c r="K201" s="98"/>
      <c r="Q201" s="505"/>
    </row>
    <row r="202" spans="10:17" x14ac:dyDescent="0.25">
      <c r="J202" s="98"/>
      <c r="K202" s="98"/>
      <c r="Q202" s="505"/>
    </row>
    <row r="203" spans="10:17" x14ac:dyDescent="0.25">
      <c r="J203" s="98"/>
      <c r="K203" s="98"/>
      <c r="Q203" s="505"/>
    </row>
    <row r="204" spans="10:17" x14ac:dyDescent="0.25">
      <c r="J204" s="98"/>
      <c r="K204" s="98"/>
      <c r="Q204" s="505"/>
    </row>
    <row r="205" spans="10:17" x14ac:dyDescent="0.25">
      <c r="J205" s="98"/>
    </row>
    <row r="206" spans="10:17" x14ac:dyDescent="0.25">
      <c r="J206" s="98"/>
    </row>
    <row r="207" spans="10:17" x14ac:dyDescent="0.25">
      <c r="J207" s="98"/>
      <c r="K207" s="98"/>
      <c r="M207" s="462"/>
      <c r="Q207" s="505"/>
    </row>
    <row r="208" spans="10:17" x14ac:dyDescent="0.25">
      <c r="J208" s="98"/>
      <c r="K208" s="98"/>
      <c r="Q208" s="505"/>
    </row>
    <row r="209" spans="10:17" x14ac:dyDescent="0.25">
      <c r="J209" s="98"/>
      <c r="K209" s="98"/>
      <c r="Q209" s="505"/>
    </row>
    <row r="210" spans="10:17" x14ac:dyDescent="0.25">
      <c r="J210" s="98"/>
      <c r="K210" s="98"/>
      <c r="Q210" s="505"/>
    </row>
    <row r="211" spans="10:17" x14ac:dyDescent="0.25">
      <c r="J211" s="98"/>
      <c r="K211" s="98"/>
      <c r="Q211" s="505"/>
    </row>
    <row r="212" spans="10:17" x14ac:dyDescent="0.25">
      <c r="J212" s="98"/>
    </row>
    <row r="213" spans="10:17" x14ac:dyDescent="0.25">
      <c r="J213" s="98"/>
      <c r="K213" s="98"/>
      <c r="Q213" s="505"/>
    </row>
    <row r="214" spans="10:17" x14ac:dyDescent="0.25">
      <c r="J214" s="98"/>
      <c r="K214" s="98"/>
      <c r="Q214" s="505"/>
    </row>
    <row r="215" spans="10:17" x14ac:dyDescent="0.25">
      <c r="J215" s="98"/>
      <c r="K215" s="98"/>
      <c r="Q215" s="505"/>
    </row>
    <row r="216" spans="10:17" x14ac:dyDescent="0.25">
      <c r="J216" s="98"/>
      <c r="K216" s="98"/>
      <c r="Q216" s="505"/>
    </row>
    <row r="217" spans="10:17" x14ac:dyDescent="0.25">
      <c r="J217" s="98"/>
    </row>
    <row r="218" spans="10:17" x14ac:dyDescent="0.25">
      <c r="J218" s="98"/>
    </row>
    <row r="219" spans="10:17" x14ac:dyDescent="0.25">
      <c r="J219" s="98"/>
      <c r="K219" s="98"/>
      <c r="Q219" s="505"/>
    </row>
    <row r="220" spans="10:17" x14ac:dyDescent="0.25">
      <c r="J220" s="98"/>
    </row>
    <row r="221" spans="10:17" x14ac:dyDescent="0.25">
      <c r="J221" s="98"/>
    </row>
    <row r="222" spans="10:17" x14ac:dyDescent="0.25">
      <c r="J222" s="98"/>
    </row>
    <row r="223" spans="10:17" x14ac:dyDescent="0.25">
      <c r="J223" s="98"/>
      <c r="K223" s="98"/>
      <c r="Q223" s="505"/>
    </row>
    <row r="224" spans="10:17" x14ac:dyDescent="0.25">
      <c r="J224" s="98"/>
      <c r="K224" s="98"/>
      <c r="Q224" s="505"/>
    </row>
    <row r="225" spans="10:17" x14ac:dyDescent="0.25">
      <c r="J225" s="98"/>
      <c r="K225" s="98"/>
      <c r="Q225" s="505"/>
    </row>
    <row r="226" spans="10:17" x14ac:dyDescent="0.25">
      <c r="J226" s="98"/>
      <c r="K226" s="98"/>
      <c r="Q226" s="505"/>
    </row>
    <row r="366" spans="3:5" x14ac:dyDescent="0.25">
      <c r="C366" s="472"/>
      <c r="D366" s="472"/>
      <c r="E366" s="473"/>
    </row>
    <row r="367" spans="3:5" x14ac:dyDescent="0.25">
      <c r="C367" s="472"/>
      <c r="D367" s="472"/>
      <c r="E367" s="473"/>
    </row>
    <row r="368" spans="3:5" x14ac:dyDescent="0.25">
      <c r="C368" s="472"/>
      <c r="D368" s="472"/>
      <c r="E368" s="473"/>
    </row>
    <row r="369" spans="3:5" x14ac:dyDescent="0.25">
      <c r="C369" s="472"/>
      <c r="D369" s="472"/>
      <c r="E369" s="473"/>
    </row>
    <row r="370" spans="3:5" x14ac:dyDescent="0.25">
      <c r="C370" s="472"/>
      <c r="D370" s="472"/>
      <c r="E370" s="473"/>
    </row>
    <row r="371" spans="3:5" x14ac:dyDescent="0.25">
      <c r="C371" s="472"/>
      <c r="D371" s="472"/>
      <c r="E371" s="473"/>
    </row>
    <row r="372" spans="3:5" x14ac:dyDescent="0.25">
      <c r="C372" s="472"/>
      <c r="D372" s="472"/>
      <c r="E372" s="473"/>
    </row>
    <row r="373" spans="3:5" x14ac:dyDescent="0.25">
      <c r="C373" s="472"/>
      <c r="D373" s="472"/>
      <c r="E373" s="473"/>
    </row>
    <row r="374" spans="3:5" x14ac:dyDescent="0.25">
      <c r="C374" s="472"/>
      <c r="D374" s="472"/>
      <c r="E374" s="473"/>
    </row>
    <row r="375" spans="3:5" x14ac:dyDescent="0.25">
      <c r="C375" s="472"/>
      <c r="D375" s="472"/>
      <c r="E375" s="473"/>
    </row>
    <row r="376" spans="3:5" x14ac:dyDescent="0.25">
      <c r="C376" s="472"/>
      <c r="D376" s="472"/>
      <c r="E376" s="473"/>
    </row>
    <row r="377" spans="3:5" x14ac:dyDescent="0.25">
      <c r="C377" s="472"/>
      <c r="D377" s="472"/>
      <c r="E377" s="473"/>
    </row>
    <row r="378" spans="3:5" x14ac:dyDescent="0.25">
      <c r="C378" s="472"/>
      <c r="D378" s="472"/>
      <c r="E378" s="473"/>
    </row>
    <row r="379" spans="3:5" x14ac:dyDescent="0.25">
      <c r="C379" s="472"/>
      <c r="D379" s="472"/>
      <c r="E379" s="473"/>
    </row>
    <row r="380" spans="3:5" x14ac:dyDescent="0.25">
      <c r="C380" s="472"/>
      <c r="D380" s="21"/>
      <c r="E380" s="462"/>
    </row>
    <row r="405" ht="28.95" customHeight="1" x14ac:dyDescent="0.25"/>
    <row r="430" spans="1:18" s="21" customFormat="1" x14ac:dyDescent="0.25">
      <c r="A430" s="423"/>
      <c r="B430" s="94"/>
      <c r="E430" s="462"/>
      <c r="F430" s="97"/>
      <c r="G430" s="466"/>
      <c r="H430" s="97"/>
      <c r="L430" s="516"/>
      <c r="M430" s="462"/>
      <c r="O430" s="99"/>
      <c r="P430" s="98"/>
      <c r="Q430" s="509"/>
      <c r="R430" s="28"/>
    </row>
    <row r="431" spans="1:18" s="21" customFormat="1" x14ac:dyDescent="0.25">
      <c r="A431" s="423"/>
      <c r="B431" s="94"/>
      <c r="E431" s="462"/>
      <c r="F431" s="97"/>
      <c r="G431" s="466"/>
      <c r="H431" s="97"/>
      <c r="L431" s="516"/>
      <c r="M431" s="462"/>
      <c r="O431" s="99"/>
      <c r="P431" s="98"/>
      <c r="Q431" s="509"/>
      <c r="R431" s="28"/>
    </row>
    <row r="432" spans="1:18" s="21" customFormat="1" x14ac:dyDescent="0.25">
      <c r="A432" s="423"/>
      <c r="B432" s="94"/>
      <c r="E432" s="462"/>
      <c r="F432" s="97"/>
      <c r="G432" s="466"/>
      <c r="H432" s="97"/>
      <c r="L432" s="516"/>
      <c r="M432" s="462"/>
      <c r="O432" s="99"/>
      <c r="P432" s="98"/>
      <c r="Q432" s="509"/>
      <c r="R432" s="28"/>
    </row>
    <row r="433" spans="1:18" s="21" customFormat="1" x14ac:dyDescent="0.25">
      <c r="A433" s="423"/>
      <c r="B433" s="94"/>
      <c r="E433" s="462"/>
      <c r="F433" s="97"/>
      <c r="G433" s="466"/>
      <c r="H433" s="97"/>
      <c r="L433" s="516"/>
      <c r="M433" s="462"/>
      <c r="O433" s="99"/>
      <c r="P433" s="98"/>
      <c r="Q433" s="509"/>
      <c r="R433" s="28"/>
    </row>
    <row r="434" spans="1:18" s="21" customFormat="1" x14ac:dyDescent="0.25">
      <c r="A434" s="423"/>
      <c r="B434" s="94"/>
      <c r="E434" s="462"/>
      <c r="F434" s="97"/>
      <c r="G434" s="466"/>
      <c r="H434" s="97"/>
      <c r="L434" s="516"/>
      <c r="M434" s="462"/>
      <c r="O434" s="99"/>
      <c r="P434" s="98"/>
      <c r="Q434" s="509"/>
      <c r="R434" s="28"/>
    </row>
    <row r="435" spans="1:18" s="21" customFormat="1" x14ac:dyDescent="0.25">
      <c r="A435" s="423"/>
      <c r="B435" s="94"/>
      <c r="E435" s="462"/>
      <c r="F435" s="97"/>
      <c r="G435" s="466"/>
      <c r="H435" s="97"/>
      <c r="L435" s="516"/>
      <c r="M435" s="462"/>
      <c r="O435" s="99"/>
      <c r="P435" s="98"/>
      <c r="Q435" s="509"/>
      <c r="R435" s="28"/>
    </row>
    <row r="436" spans="1:18" s="21" customFormat="1" x14ac:dyDescent="0.25">
      <c r="A436" s="423"/>
      <c r="B436" s="94"/>
      <c r="E436" s="462"/>
      <c r="F436" s="97"/>
      <c r="G436" s="466"/>
      <c r="H436" s="97"/>
      <c r="L436" s="516"/>
      <c r="M436" s="462"/>
      <c r="O436" s="99"/>
      <c r="P436" s="98"/>
      <c r="Q436" s="509"/>
      <c r="R436" s="28"/>
    </row>
    <row r="437" spans="1:18" s="21" customFormat="1" x14ac:dyDescent="0.25">
      <c r="A437" s="423"/>
      <c r="B437" s="94"/>
      <c r="E437" s="462"/>
      <c r="F437" s="97"/>
      <c r="G437" s="466"/>
      <c r="H437" s="97"/>
      <c r="L437" s="516"/>
      <c r="M437" s="462"/>
      <c r="O437" s="99"/>
      <c r="P437" s="98"/>
      <c r="Q437" s="509"/>
      <c r="R437" s="28"/>
    </row>
    <row r="438" spans="1:18" s="21" customFormat="1" x14ac:dyDescent="0.25">
      <c r="A438" s="423"/>
      <c r="B438" s="94"/>
      <c r="E438" s="462"/>
      <c r="F438" s="97"/>
      <c r="G438" s="466"/>
      <c r="H438" s="97"/>
      <c r="L438" s="516"/>
      <c r="M438" s="462"/>
      <c r="O438" s="99"/>
      <c r="P438" s="98"/>
      <c r="Q438" s="509"/>
      <c r="R438" s="28"/>
    </row>
    <row r="439" spans="1:18" s="21" customFormat="1" x14ac:dyDescent="0.25">
      <c r="A439" s="423"/>
      <c r="B439" s="94"/>
      <c r="E439" s="462"/>
      <c r="F439" s="97"/>
      <c r="G439" s="466"/>
      <c r="H439" s="97"/>
      <c r="L439" s="516"/>
      <c r="M439" s="462"/>
      <c r="O439" s="99"/>
      <c r="P439" s="98"/>
      <c r="Q439" s="509"/>
      <c r="R439" s="28"/>
    </row>
    <row r="440" spans="1:18" s="21" customFormat="1" x14ac:dyDescent="0.25">
      <c r="A440" s="423"/>
      <c r="B440" s="94"/>
      <c r="E440" s="462"/>
      <c r="F440" s="97"/>
      <c r="G440" s="466"/>
      <c r="H440" s="97"/>
      <c r="L440" s="516"/>
      <c r="M440" s="462"/>
      <c r="O440" s="99"/>
      <c r="P440" s="98"/>
      <c r="Q440" s="509"/>
      <c r="R440" s="28"/>
    </row>
    <row r="441" spans="1:18" s="21" customFormat="1" x14ac:dyDescent="0.25">
      <c r="A441" s="423"/>
      <c r="B441" s="94"/>
      <c r="E441" s="462"/>
      <c r="F441" s="97"/>
      <c r="G441" s="466"/>
      <c r="H441" s="97"/>
      <c r="L441" s="516"/>
      <c r="M441" s="462"/>
      <c r="O441" s="99"/>
      <c r="P441" s="98"/>
      <c r="Q441" s="509"/>
      <c r="R441" s="28"/>
    </row>
    <row r="442" spans="1:18" s="21" customFormat="1" x14ac:dyDescent="0.25">
      <c r="A442" s="423"/>
      <c r="B442" s="94"/>
      <c r="E442" s="462"/>
      <c r="F442" s="97"/>
      <c r="G442" s="466"/>
      <c r="H442" s="97"/>
      <c r="L442" s="516"/>
      <c r="M442" s="462"/>
      <c r="O442" s="99"/>
      <c r="P442" s="98"/>
      <c r="Q442" s="509"/>
      <c r="R442" s="28"/>
    </row>
    <row r="559" spans="16:16" x14ac:dyDescent="0.25">
      <c r="P559" s="462"/>
    </row>
    <row r="560" spans="16:16" x14ac:dyDescent="0.25">
      <c r="P560" s="462"/>
    </row>
    <row r="561" spans="16:16" x14ac:dyDescent="0.25">
      <c r="P561" s="462"/>
    </row>
    <row r="562" spans="16:16" x14ac:dyDescent="0.25">
      <c r="P562" s="462"/>
    </row>
    <row r="563" spans="16:16" x14ac:dyDescent="0.25">
      <c r="P563" s="462"/>
    </row>
    <row r="564" spans="16:16" x14ac:dyDescent="0.25">
      <c r="P564" s="462"/>
    </row>
    <row r="565" spans="16:16" x14ac:dyDescent="0.25">
      <c r="P565" s="462"/>
    </row>
    <row r="566" spans="16:16" x14ac:dyDescent="0.25">
      <c r="P566" s="462"/>
    </row>
    <row r="567" spans="16:16" x14ac:dyDescent="0.25">
      <c r="P567" s="462"/>
    </row>
    <row r="568" spans="16:16" x14ac:dyDescent="0.25">
      <c r="P568" s="462"/>
    </row>
    <row r="569" spans="16:16" x14ac:dyDescent="0.25">
      <c r="P569" s="462"/>
    </row>
    <row r="570" spans="16:16" x14ac:dyDescent="0.25">
      <c r="P570" s="462"/>
    </row>
    <row r="571" spans="16:16" x14ac:dyDescent="0.25">
      <c r="P571" s="462"/>
    </row>
    <row r="584" spans="15:15" x14ac:dyDescent="0.25">
      <c r="O584" s="461"/>
    </row>
    <row r="585" spans="15:15" x14ac:dyDescent="0.25">
      <c r="O585" s="461"/>
    </row>
    <row r="586" spans="15:15" x14ac:dyDescent="0.25">
      <c r="O586" s="461"/>
    </row>
    <row r="587" spans="15:15" x14ac:dyDescent="0.25">
      <c r="O587" s="461"/>
    </row>
    <row r="588" spans="15:15" x14ac:dyDescent="0.25">
      <c r="O588" s="461"/>
    </row>
    <row r="589" spans="15:15" x14ac:dyDescent="0.25">
      <c r="O589" s="461"/>
    </row>
    <row r="590" spans="15:15" x14ac:dyDescent="0.25">
      <c r="O590" s="461"/>
    </row>
    <row r="591" spans="15:15" x14ac:dyDescent="0.25">
      <c r="O591" s="461"/>
    </row>
    <row r="592" spans="15:15" x14ac:dyDescent="0.25">
      <c r="O592" s="461"/>
    </row>
    <row r="593" spans="15:15" x14ac:dyDescent="0.25">
      <c r="O593" s="461"/>
    </row>
    <row r="594" spans="15:15" x14ac:dyDescent="0.25">
      <c r="O594" s="461"/>
    </row>
    <row r="595" spans="15:15" x14ac:dyDescent="0.25">
      <c r="O595" s="461"/>
    </row>
    <row r="596" spans="15:15" x14ac:dyDescent="0.25">
      <c r="O596" s="461"/>
    </row>
  </sheetData>
  <phoneticPr fontId="0" type="noConversion"/>
  <printOptions horizontalCentered="1" gridLines="1"/>
  <pageMargins left="0.47244094488188981" right="0.47244094488188981" top="0.59055118110236227" bottom="0.59055118110236227" header="0.31496062992125984" footer="0.31496062992125984"/>
  <pageSetup paperSize="9" scale="72" fitToHeight="100" orientation="portrait" horizontalDpi="300" verticalDpi="300" r:id="rId1"/>
  <headerFooter alignWithMargins="0">
    <oddFoote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BM895"/>
  <sheetViews>
    <sheetView topLeftCell="A84" workbookViewId="0">
      <selection activeCell="I95" sqref="I95:I894"/>
    </sheetView>
  </sheetViews>
  <sheetFormatPr defaultRowHeight="13.2" x14ac:dyDescent="0.25"/>
  <cols>
    <col min="1" max="1" width="6.44140625" customWidth="1"/>
    <col min="2" max="2" width="0.88671875" customWidth="1"/>
    <col min="3" max="4" width="3.33203125" customWidth="1"/>
    <col min="5" max="5" width="13.33203125" customWidth="1"/>
    <col min="6" max="6" width="62.33203125" customWidth="1"/>
    <col min="7" max="7" width="5.6640625" customWidth="1"/>
    <col min="8" max="8" width="8.6640625" customWidth="1"/>
    <col min="9" max="9" width="11.109375" customWidth="1"/>
    <col min="10" max="10" width="16" customWidth="1"/>
    <col min="11" max="11" width="8.5546875" style="643" customWidth="1"/>
    <col min="12" max="12" width="7.33203125" hidden="1" customWidth="1"/>
    <col min="13" max="13" width="8.44140625" hidden="1" customWidth="1"/>
    <col min="14" max="14" width="0" hidden="1" customWidth="1"/>
    <col min="15" max="20" width="11" hidden="1" customWidth="1"/>
    <col min="21" max="21" width="12.6640625" hidden="1" customWidth="1"/>
    <col min="22" max="22" width="9.5546875" hidden="1" customWidth="1"/>
    <col min="23" max="23" width="12.6640625" customWidth="1"/>
    <col min="24" max="24" width="9.5546875" customWidth="1"/>
    <col min="25" max="25" width="11.6640625" customWidth="1"/>
    <col min="26" max="26" width="8.5546875" customWidth="1"/>
    <col min="27" max="27" width="11.6640625" customWidth="1"/>
    <col min="28" max="28" width="12.6640625" customWidth="1"/>
    <col min="29" max="29" width="8.5546875" customWidth="1"/>
    <col min="30" max="30" width="11.6640625" customWidth="1"/>
    <col min="31" max="31" width="12.6640625" customWidth="1"/>
    <col min="44" max="65" width="0" hidden="1" customWidth="1"/>
  </cols>
  <sheetData>
    <row r="2" spans="2:56" ht="36.9" customHeight="1" x14ac:dyDescent="0.25">
      <c r="L2" s="1020" t="s">
        <v>689</v>
      </c>
      <c r="M2" s="1021"/>
      <c r="N2" s="1021"/>
      <c r="O2" s="1021"/>
      <c r="P2" s="1021"/>
      <c r="Q2" s="1021"/>
      <c r="R2" s="1021"/>
      <c r="S2" s="1021"/>
      <c r="T2" s="1021"/>
      <c r="U2" s="1021"/>
      <c r="V2" s="1021"/>
      <c r="AT2" s="157" t="s">
        <v>690</v>
      </c>
      <c r="AZ2" s="644" t="s">
        <v>691</v>
      </c>
      <c r="BA2" s="644" t="s">
        <v>692</v>
      </c>
      <c r="BB2" s="644" t="s">
        <v>140</v>
      </c>
      <c r="BC2" s="644" t="s">
        <v>693</v>
      </c>
      <c r="BD2" s="644" t="s">
        <v>102</v>
      </c>
    </row>
    <row r="3" spans="2:56" ht="6.9" customHeight="1" x14ac:dyDescent="0.25">
      <c r="B3" s="158"/>
      <c r="C3" s="159"/>
      <c r="D3" s="159"/>
      <c r="E3" s="159"/>
      <c r="F3" s="159"/>
      <c r="G3" s="159"/>
      <c r="H3" s="159"/>
      <c r="I3" s="159"/>
      <c r="J3" s="159"/>
      <c r="K3" s="645"/>
      <c r="L3" s="160"/>
      <c r="AT3" s="157" t="s">
        <v>101</v>
      </c>
      <c r="AZ3" s="644" t="s">
        <v>694</v>
      </c>
      <c r="BA3" s="644" t="s">
        <v>695</v>
      </c>
      <c r="BB3" s="644" t="s">
        <v>15</v>
      </c>
      <c r="BC3" s="644" t="s">
        <v>696</v>
      </c>
      <c r="BD3" s="644" t="s">
        <v>102</v>
      </c>
    </row>
    <row r="4" spans="2:56" ht="24.9" customHeight="1" x14ac:dyDescent="0.25">
      <c r="B4" s="160"/>
      <c r="D4" s="161" t="s">
        <v>697</v>
      </c>
      <c r="L4" s="160"/>
      <c r="M4" s="646" t="s">
        <v>698</v>
      </c>
      <c r="AT4" s="157" t="s">
        <v>699</v>
      </c>
      <c r="AZ4" s="644" t="s">
        <v>700</v>
      </c>
      <c r="BA4" s="644" t="s">
        <v>701</v>
      </c>
      <c r="BB4" s="644" t="s">
        <v>15</v>
      </c>
      <c r="BC4" s="644" t="s">
        <v>702</v>
      </c>
      <c r="BD4" s="644" t="s">
        <v>102</v>
      </c>
    </row>
    <row r="5" spans="2:56" ht="6.9" customHeight="1" x14ac:dyDescent="0.25">
      <c r="B5" s="160"/>
      <c r="L5" s="160"/>
      <c r="AZ5" s="644" t="s">
        <v>703</v>
      </c>
      <c r="BA5" s="644" t="s">
        <v>704</v>
      </c>
      <c r="BB5" s="644" t="s">
        <v>15</v>
      </c>
      <c r="BC5" s="644" t="s">
        <v>705</v>
      </c>
      <c r="BD5" s="644" t="s">
        <v>102</v>
      </c>
    </row>
    <row r="6" spans="2:56" ht="12" customHeight="1" x14ac:dyDescent="0.25">
      <c r="B6" s="160"/>
      <c r="D6" s="162" t="s">
        <v>706</v>
      </c>
      <c r="L6" s="160"/>
      <c r="AZ6" s="644" t="s">
        <v>707</v>
      </c>
      <c r="BA6" s="644" t="s">
        <v>708</v>
      </c>
      <c r="BB6" s="644" t="s">
        <v>15</v>
      </c>
      <c r="BC6" s="644" t="s">
        <v>709</v>
      </c>
      <c r="BD6" s="644" t="s">
        <v>102</v>
      </c>
    </row>
    <row r="7" spans="2:56" ht="16.5" customHeight="1" x14ac:dyDescent="0.25">
      <c r="B7" s="160"/>
      <c r="E7" s="1016" t="str">
        <f>'[1]Rekapitulace stavby'!K6</f>
        <v>Náměstí Běchovice</v>
      </c>
      <c r="F7" s="1017"/>
      <c r="G7" s="1017"/>
      <c r="H7" s="1017"/>
      <c r="L7" s="160"/>
      <c r="AZ7" s="644" t="s">
        <v>710</v>
      </c>
      <c r="BA7" s="644" t="s">
        <v>711</v>
      </c>
      <c r="BB7" s="644" t="s">
        <v>15</v>
      </c>
      <c r="BC7" s="644" t="s">
        <v>712</v>
      </c>
      <c r="BD7" s="644" t="s">
        <v>102</v>
      </c>
    </row>
    <row r="8" spans="2:56" s="163" customFormat="1" ht="12" customHeight="1" x14ac:dyDescent="0.25">
      <c r="B8" s="164"/>
      <c r="D8" s="162" t="s">
        <v>713</v>
      </c>
      <c r="K8" s="647"/>
      <c r="L8" s="164"/>
      <c r="AZ8" s="644" t="s">
        <v>714</v>
      </c>
      <c r="BA8" s="644" t="s">
        <v>715</v>
      </c>
      <c r="BB8" s="644" t="s">
        <v>15</v>
      </c>
      <c r="BC8" s="644" t="s">
        <v>716</v>
      </c>
      <c r="BD8" s="644" t="s">
        <v>102</v>
      </c>
    </row>
    <row r="9" spans="2:56" s="163" customFormat="1" ht="16.5" customHeight="1" x14ac:dyDescent="0.25">
      <c r="B9" s="164"/>
      <c r="E9" s="1018" t="s">
        <v>717</v>
      </c>
      <c r="F9" s="1019"/>
      <c r="G9" s="1019"/>
      <c r="H9" s="1019"/>
      <c r="K9" s="647"/>
      <c r="L9" s="164"/>
      <c r="AZ9" s="644" t="s">
        <v>718</v>
      </c>
      <c r="BA9" s="644" t="s">
        <v>719</v>
      </c>
      <c r="BB9" s="644" t="s">
        <v>15</v>
      </c>
      <c r="BC9" s="644" t="s">
        <v>720</v>
      </c>
      <c r="BD9" s="644" t="s">
        <v>102</v>
      </c>
    </row>
    <row r="10" spans="2:56" s="163" customFormat="1" x14ac:dyDescent="0.25">
      <c r="B10" s="164"/>
      <c r="K10" s="647"/>
      <c r="L10" s="164"/>
      <c r="AZ10" s="644" t="s">
        <v>721</v>
      </c>
      <c r="BA10" s="644" t="s">
        <v>722</v>
      </c>
      <c r="BB10" s="644" t="s">
        <v>15</v>
      </c>
      <c r="BC10" s="644" t="s">
        <v>723</v>
      </c>
      <c r="BD10" s="644" t="s">
        <v>102</v>
      </c>
    </row>
    <row r="11" spans="2:56" s="163" customFormat="1" ht="12" customHeight="1" x14ac:dyDescent="0.25">
      <c r="B11" s="164"/>
      <c r="D11" s="162" t="s">
        <v>724</v>
      </c>
      <c r="F11" s="165" t="s">
        <v>725</v>
      </c>
      <c r="I11" s="162" t="s">
        <v>726</v>
      </c>
      <c r="J11" s="165" t="s">
        <v>725</v>
      </c>
      <c r="K11" s="647"/>
      <c r="L11" s="164"/>
      <c r="AZ11" s="644" t="s">
        <v>727</v>
      </c>
      <c r="BA11" s="644" t="s">
        <v>728</v>
      </c>
      <c r="BB11" s="644" t="s">
        <v>15</v>
      </c>
      <c r="BC11" s="644" t="s">
        <v>729</v>
      </c>
      <c r="BD11" s="644" t="s">
        <v>102</v>
      </c>
    </row>
    <row r="12" spans="2:56" s="163" customFormat="1" ht="12" customHeight="1" x14ac:dyDescent="0.25">
      <c r="B12" s="164"/>
      <c r="D12" s="162" t="s">
        <v>730</v>
      </c>
      <c r="F12" s="165" t="s">
        <v>731</v>
      </c>
      <c r="I12" s="162" t="s">
        <v>732</v>
      </c>
      <c r="J12" s="166" t="str">
        <f>'[1]Rekapitulace stavby'!AN8</f>
        <v>27. 4. 2021</v>
      </c>
      <c r="K12" s="647"/>
      <c r="L12" s="164"/>
      <c r="AZ12" s="644" t="s">
        <v>733</v>
      </c>
      <c r="BA12" s="644" t="s">
        <v>734</v>
      </c>
      <c r="BB12" s="644" t="s">
        <v>15</v>
      </c>
      <c r="BC12" s="644" t="s">
        <v>735</v>
      </c>
      <c r="BD12" s="644" t="s">
        <v>102</v>
      </c>
    </row>
    <row r="13" spans="2:56" s="163" customFormat="1" ht="10.95" customHeight="1" x14ac:dyDescent="0.25">
      <c r="B13" s="164"/>
      <c r="K13" s="647"/>
      <c r="L13" s="164"/>
      <c r="AZ13" s="644" t="s">
        <v>736</v>
      </c>
      <c r="BA13" s="644" t="s">
        <v>737</v>
      </c>
      <c r="BB13" s="644" t="s">
        <v>15</v>
      </c>
      <c r="BC13" s="644" t="s">
        <v>738</v>
      </c>
      <c r="BD13" s="644" t="s">
        <v>102</v>
      </c>
    </row>
    <row r="14" spans="2:56" s="163" customFormat="1" ht="12" customHeight="1" x14ac:dyDescent="0.25">
      <c r="B14" s="164"/>
      <c r="D14" s="162" t="s">
        <v>739</v>
      </c>
      <c r="I14" s="162" t="s">
        <v>740</v>
      </c>
      <c r="J14" s="165" t="s">
        <v>725</v>
      </c>
      <c r="K14" s="647"/>
      <c r="L14" s="164"/>
      <c r="AZ14" s="644" t="s">
        <v>741</v>
      </c>
      <c r="BA14" s="644" t="s">
        <v>742</v>
      </c>
      <c r="BB14" s="644" t="s">
        <v>15</v>
      </c>
      <c r="BC14" s="644" t="s">
        <v>743</v>
      </c>
      <c r="BD14" s="644" t="s">
        <v>102</v>
      </c>
    </row>
    <row r="15" spans="2:56" s="163" customFormat="1" ht="18" customHeight="1" x14ac:dyDescent="0.25">
      <c r="B15" s="164"/>
      <c r="E15" s="165" t="s">
        <v>744</v>
      </c>
      <c r="I15" s="162" t="s">
        <v>745</v>
      </c>
      <c r="J15" s="165" t="s">
        <v>725</v>
      </c>
      <c r="K15" s="647"/>
      <c r="L15" s="164"/>
      <c r="AZ15" s="644" t="s">
        <v>746</v>
      </c>
      <c r="BA15" s="644" t="s">
        <v>747</v>
      </c>
      <c r="BB15" s="644" t="s">
        <v>15</v>
      </c>
      <c r="BC15" s="644" t="s">
        <v>748</v>
      </c>
      <c r="BD15" s="644" t="s">
        <v>102</v>
      </c>
    </row>
    <row r="16" spans="2:56" s="163" customFormat="1" ht="6.9" customHeight="1" x14ac:dyDescent="0.25">
      <c r="B16" s="164"/>
      <c r="K16" s="647"/>
      <c r="L16" s="164"/>
      <c r="AZ16" s="644" t="s">
        <v>749</v>
      </c>
      <c r="BA16" s="644" t="s">
        <v>750</v>
      </c>
      <c r="BB16" s="644" t="s">
        <v>15</v>
      </c>
      <c r="BC16" s="644" t="s">
        <v>751</v>
      </c>
      <c r="BD16" s="644" t="s">
        <v>102</v>
      </c>
    </row>
    <row r="17" spans="2:56" s="163" customFormat="1" ht="12" customHeight="1" x14ac:dyDescent="0.25">
      <c r="B17" s="164"/>
      <c r="D17" s="162" t="s">
        <v>752</v>
      </c>
      <c r="I17" s="162" t="s">
        <v>740</v>
      </c>
      <c r="J17" s="165" t="str">
        <f>'[1]Rekapitulace stavby'!AN13</f>
        <v/>
      </c>
      <c r="K17" s="647"/>
      <c r="L17" s="164"/>
      <c r="AZ17" s="644" t="s">
        <v>753</v>
      </c>
      <c r="BA17" s="644" t="s">
        <v>754</v>
      </c>
      <c r="BB17" s="644" t="s">
        <v>15</v>
      </c>
      <c r="BC17" s="644" t="s">
        <v>755</v>
      </c>
      <c r="BD17" s="644" t="s">
        <v>102</v>
      </c>
    </row>
    <row r="18" spans="2:56" s="163" customFormat="1" ht="18" customHeight="1" x14ac:dyDescent="0.25">
      <c r="B18" s="164"/>
      <c r="E18" s="1022" t="str">
        <f>'[1]Rekapitulace stavby'!E14</f>
        <v xml:space="preserve"> </v>
      </c>
      <c r="F18" s="1022"/>
      <c r="G18" s="1022"/>
      <c r="H18" s="1022"/>
      <c r="I18" s="162" t="s">
        <v>745</v>
      </c>
      <c r="J18" s="165" t="str">
        <f>'[1]Rekapitulace stavby'!AN14</f>
        <v/>
      </c>
      <c r="K18" s="647"/>
      <c r="L18" s="164"/>
      <c r="AZ18" s="644" t="s">
        <v>756</v>
      </c>
      <c r="BA18" s="644" t="s">
        <v>757</v>
      </c>
      <c r="BB18" s="644" t="s">
        <v>15</v>
      </c>
      <c r="BC18" s="644" t="s">
        <v>758</v>
      </c>
      <c r="BD18" s="644" t="s">
        <v>102</v>
      </c>
    </row>
    <row r="19" spans="2:56" s="163" customFormat="1" ht="6.9" customHeight="1" x14ac:dyDescent="0.25">
      <c r="B19" s="164"/>
      <c r="K19" s="647"/>
      <c r="L19" s="164"/>
      <c r="AZ19" s="644" t="s">
        <v>759</v>
      </c>
      <c r="BA19" s="644" t="s">
        <v>760</v>
      </c>
      <c r="BB19" s="644" t="s">
        <v>15</v>
      </c>
      <c r="BC19" s="644" t="s">
        <v>761</v>
      </c>
      <c r="BD19" s="644" t="s">
        <v>102</v>
      </c>
    </row>
    <row r="20" spans="2:56" s="163" customFormat="1" ht="12" customHeight="1" x14ac:dyDescent="0.25">
      <c r="B20" s="164"/>
      <c r="D20" s="162" t="s">
        <v>762</v>
      </c>
      <c r="I20" s="162" t="s">
        <v>740</v>
      </c>
      <c r="J20" s="165" t="s">
        <v>725</v>
      </c>
      <c r="K20" s="647"/>
      <c r="L20" s="164"/>
      <c r="AZ20" s="644" t="s">
        <v>763</v>
      </c>
      <c r="BA20" s="644" t="s">
        <v>764</v>
      </c>
      <c r="BB20" s="644" t="s">
        <v>15</v>
      </c>
      <c r="BC20" s="644" t="s">
        <v>765</v>
      </c>
      <c r="BD20" s="644" t="s">
        <v>102</v>
      </c>
    </row>
    <row r="21" spans="2:56" s="163" customFormat="1" ht="18" customHeight="1" x14ac:dyDescent="0.25">
      <c r="B21" s="164"/>
      <c r="E21" s="165" t="s">
        <v>766</v>
      </c>
      <c r="I21" s="162" t="s">
        <v>745</v>
      </c>
      <c r="J21" s="165" t="s">
        <v>725</v>
      </c>
      <c r="K21" s="647"/>
      <c r="L21" s="164"/>
      <c r="AZ21" s="644" t="s">
        <v>767</v>
      </c>
      <c r="BA21" s="644" t="s">
        <v>768</v>
      </c>
      <c r="BB21" s="644" t="s">
        <v>15</v>
      </c>
      <c r="BC21" s="644" t="s">
        <v>769</v>
      </c>
      <c r="BD21" s="644" t="s">
        <v>102</v>
      </c>
    </row>
    <row r="22" spans="2:56" s="163" customFormat="1" ht="6.9" customHeight="1" x14ac:dyDescent="0.25">
      <c r="B22" s="164"/>
      <c r="K22" s="647"/>
      <c r="L22" s="164"/>
      <c r="AZ22" s="644" t="s">
        <v>770</v>
      </c>
      <c r="BA22" s="644" t="s">
        <v>771</v>
      </c>
      <c r="BB22" s="644" t="s">
        <v>15</v>
      </c>
      <c r="BC22" s="644" t="s">
        <v>772</v>
      </c>
      <c r="BD22" s="644" t="s">
        <v>102</v>
      </c>
    </row>
    <row r="23" spans="2:56" s="163" customFormat="1" ht="12" customHeight="1" x14ac:dyDescent="0.25">
      <c r="B23" s="164"/>
      <c r="D23" s="162" t="s">
        <v>773</v>
      </c>
      <c r="I23" s="162" t="s">
        <v>740</v>
      </c>
      <c r="J23" s="165" t="s">
        <v>774</v>
      </c>
      <c r="K23" s="647"/>
      <c r="L23" s="164"/>
      <c r="AZ23" s="644" t="s">
        <v>775</v>
      </c>
      <c r="BA23" s="644" t="s">
        <v>776</v>
      </c>
      <c r="BB23" s="644" t="s">
        <v>15</v>
      </c>
      <c r="BC23" s="644" t="s">
        <v>777</v>
      </c>
      <c r="BD23" s="644" t="s">
        <v>102</v>
      </c>
    </row>
    <row r="24" spans="2:56" s="163" customFormat="1" ht="18" customHeight="1" x14ac:dyDescent="0.25">
      <c r="B24" s="164"/>
      <c r="E24" s="165" t="s">
        <v>778</v>
      </c>
      <c r="I24" s="162" t="s">
        <v>745</v>
      </c>
      <c r="J24" s="165" t="s">
        <v>725</v>
      </c>
      <c r="K24" s="647"/>
      <c r="L24" s="164"/>
      <c r="AZ24" s="644" t="s">
        <v>779</v>
      </c>
      <c r="BA24" s="644" t="s">
        <v>780</v>
      </c>
      <c r="BB24" s="644" t="s">
        <v>15</v>
      </c>
      <c r="BC24" s="644" t="s">
        <v>781</v>
      </c>
      <c r="BD24" s="644" t="s">
        <v>102</v>
      </c>
    </row>
    <row r="25" spans="2:56" s="163" customFormat="1" ht="6.9" customHeight="1" x14ac:dyDescent="0.25">
      <c r="B25" s="164"/>
      <c r="K25" s="647"/>
      <c r="L25" s="164"/>
      <c r="AZ25" s="644" t="s">
        <v>782</v>
      </c>
      <c r="BA25" s="644" t="s">
        <v>783</v>
      </c>
      <c r="BB25" s="644" t="s">
        <v>15</v>
      </c>
      <c r="BC25" s="644" t="s">
        <v>784</v>
      </c>
      <c r="BD25" s="644" t="s">
        <v>102</v>
      </c>
    </row>
    <row r="26" spans="2:56" s="163" customFormat="1" ht="12" customHeight="1" x14ac:dyDescent="0.25">
      <c r="B26" s="164"/>
      <c r="D26" s="162" t="s">
        <v>785</v>
      </c>
      <c r="K26" s="647"/>
      <c r="L26" s="164"/>
      <c r="AZ26" s="644" t="s">
        <v>786</v>
      </c>
      <c r="BA26" s="644" t="s">
        <v>787</v>
      </c>
      <c r="BB26" s="644" t="s">
        <v>15</v>
      </c>
      <c r="BC26" s="644" t="s">
        <v>788</v>
      </c>
      <c r="BD26" s="644" t="s">
        <v>102</v>
      </c>
    </row>
    <row r="27" spans="2:56" s="649" customFormat="1" ht="47.25" customHeight="1" x14ac:dyDescent="0.25">
      <c r="B27" s="648"/>
      <c r="E27" s="1023" t="s">
        <v>789</v>
      </c>
      <c r="F27" s="1023"/>
      <c r="G27" s="1023"/>
      <c r="H27" s="1023"/>
      <c r="K27" s="651"/>
      <c r="L27" s="648"/>
      <c r="AZ27" s="652" t="s">
        <v>790</v>
      </c>
      <c r="BA27" s="652" t="s">
        <v>791</v>
      </c>
      <c r="BB27" s="652" t="s">
        <v>15</v>
      </c>
      <c r="BC27" s="652" t="s">
        <v>792</v>
      </c>
      <c r="BD27" s="652" t="s">
        <v>102</v>
      </c>
    </row>
    <row r="28" spans="2:56" s="163" customFormat="1" ht="6.9" customHeight="1" x14ac:dyDescent="0.25">
      <c r="B28" s="164"/>
      <c r="K28" s="647"/>
      <c r="L28" s="164"/>
      <c r="AZ28" s="644" t="s">
        <v>793</v>
      </c>
      <c r="BA28" s="644" t="s">
        <v>794</v>
      </c>
      <c r="BB28" s="644" t="s">
        <v>15</v>
      </c>
      <c r="BC28" s="644" t="s">
        <v>795</v>
      </c>
      <c r="BD28" s="644" t="s">
        <v>102</v>
      </c>
    </row>
    <row r="29" spans="2:56" s="163" customFormat="1" ht="6.9" customHeight="1" x14ac:dyDescent="0.25">
      <c r="B29" s="164"/>
      <c r="D29" s="167"/>
      <c r="E29" s="167"/>
      <c r="F29" s="167"/>
      <c r="G29" s="167"/>
      <c r="H29" s="167"/>
      <c r="I29" s="167"/>
      <c r="J29" s="167"/>
      <c r="K29" s="653"/>
      <c r="L29" s="164"/>
      <c r="AZ29" s="644" t="s">
        <v>796</v>
      </c>
      <c r="BA29" s="644" t="s">
        <v>797</v>
      </c>
      <c r="BB29" s="644" t="s">
        <v>15</v>
      </c>
      <c r="BC29" s="644" t="s">
        <v>798</v>
      </c>
      <c r="BD29" s="644" t="s">
        <v>102</v>
      </c>
    </row>
    <row r="30" spans="2:56" s="163" customFormat="1" ht="25.35" customHeight="1" x14ac:dyDescent="0.25">
      <c r="B30" s="164"/>
      <c r="D30" s="654" t="s">
        <v>799</v>
      </c>
      <c r="J30" s="655">
        <f>ROUND(J92, 2)</f>
        <v>0</v>
      </c>
      <c r="K30" s="647"/>
      <c r="L30" s="164"/>
      <c r="AZ30" s="644" t="s">
        <v>800</v>
      </c>
      <c r="BA30" s="644" t="s">
        <v>801</v>
      </c>
      <c r="BB30" s="644" t="s">
        <v>15</v>
      </c>
      <c r="BC30" s="644" t="s">
        <v>802</v>
      </c>
      <c r="BD30" s="644" t="s">
        <v>102</v>
      </c>
    </row>
    <row r="31" spans="2:56" s="163" customFormat="1" ht="6.9" customHeight="1" x14ac:dyDescent="0.25">
      <c r="B31" s="164"/>
      <c r="D31" s="167"/>
      <c r="E31" s="167"/>
      <c r="F31" s="167"/>
      <c r="G31" s="167"/>
      <c r="H31" s="167"/>
      <c r="I31" s="167"/>
      <c r="J31" s="167"/>
      <c r="K31" s="653"/>
      <c r="L31" s="164"/>
      <c r="AZ31" s="644" t="s">
        <v>803</v>
      </c>
      <c r="BA31" s="644" t="s">
        <v>804</v>
      </c>
      <c r="BB31" s="644" t="s">
        <v>15</v>
      </c>
      <c r="BC31" s="644" t="s">
        <v>805</v>
      </c>
      <c r="BD31" s="644" t="s">
        <v>102</v>
      </c>
    </row>
    <row r="32" spans="2:56" s="163" customFormat="1" ht="14.4" customHeight="1" x14ac:dyDescent="0.25">
      <c r="B32" s="164"/>
      <c r="F32" s="656" t="s">
        <v>806</v>
      </c>
      <c r="I32" s="656" t="s">
        <v>807</v>
      </c>
      <c r="J32" s="656" t="s">
        <v>808</v>
      </c>
      <c r="K32" s="647"/>
      <c r="L32" s="164"/>
      <c r="AZ32" s="644" t="s">
        <v>809</v>
      </c>
      <c r="BA32" s="644" t="s">
        <v>810</v>
      </c>
      <c r="BB32" s="644" t="s">
        <v>15</v>
      </c>
      <c r="BC32" s="644" t="s">
        <v>811</v>
      </c>
      <c r="BD32" s="644" t="s">
        <v>102</v>
      </c>
    </row>
    <row r="33" spans="2:56" s="163" customFormat="1" ht="14.4" customHeight="1" x14ac:dyDescent="0.25">
      <c r="B33" s="164"/>
      <c r="D33" s="657" t="s">
        <v>812</v>
      </c>
      <c r="E33" s="162" t="s">
        <v>813</v>
      </c>
      <c r="F33" s="658">
        <f>ROUND((SUM(BE92:BE894)),  2)</f>
        <v>0</v>
      </c>
      <c r="I33" s="659">
        <v>0.21</v>
      </c>
      <c r="J33" s="658">
        <f>ROUND(((SUM(BE92:BE894))*I33),  2)</f>
        <v>0</v>
      </c>
      <c r="K33" s="647"/>
      <c r="L33" s="164"/>
      <c r="AZ33" s="644" t="s">
        <v>814</v>
      </c>
      <c r="BA33" s="644" t="s">
        <v>815</v>
      </c>
      <c r="BB33" s="644" t="s">
        <v>15</v>
      </c>
      <c r="BC33" s="644" t="s">
        <v>816</v>
      </c>
      <c r="BD33" s="644" t="s">
        <v>102</v>
      </c>
    </row>
    <row r="34" spans="2:56" s="163" customFormat="1" ht="14.4" customHeight="1" x14ac:dyDescent="0.25">
      <c r="B34" s="164"/>
      <c r="E34" s="162" t="s">
        <v>817</v>
      </c>
      <c r="F34" s="658">
        <f>ROUND((SUM(BF92:BF894)),  2)</f>
        <v>0</v>
      </c>
      <c r="I34" s="659">
        <v>0.15</v>
      </c>
      <c r="J34" s="658">
        <f>ROUND(((SUM(BF92:BF894))*I34),  2)</f>
        <v>0</v>
      </c>
      <c r="K34" s="647"/>
      <c r="L34" s="164"/>
      <c r="AZ34" s="644" t="s">
        <v>818</v>
      </c>
      <c r="BA34" s="644" t="s">
        <v>819</v>
      </c>
      <c r="BB34" s="644" t="s">
        <v>15</v>
      </c>
      <c r="BC34" s="644" t="s">
        <v>820</v>
      </c>
      <c r="BD34" s="644" t="s">
        <v>102</v>
      </c>
    </row>
    <row r="35" spans="2:56" s="163" customFormat="1" ht="14.4" hidden="1" customHeight="1" x14ac:dyDescent="0.25">
      <c r="B35" s="164"/>
      <c r="E35" s="162" t="s">
        <v>821</v>
      </c>
      <c r="F35" s="658">
        <f>ROUND((SUM(BG92:BG894)),  2)</f>
        <v>0</v>
      </c>
      <c r="I35" s="659">
        <v>0.21</v>
      </c>
      <c r="J35" s="658">
        <f>0</f>
        <v>0</v>
      </c>
      <c r="K35" s="647"/>
      <c r="L35" s="164"/>
    </row>
    <row r="36" spans="2:56" s="163" customFormat="1" ht="14.4" hidden="1" customHeight="1" x14ac:dyDescent="0.25">
      <c r="B36" s="164"/>
      <c r="E36" s="162" t="s">
        <v>822</v>
      </c>
      <c r="F36" s="658">
        <f>ROUND((SUM(BH92:BH894)),  2)</f>
        <v>0</v>
      </c>
      <c r="I36" s="659">
        <v>0.15</v>
      </c>
      <c r="J36" s="658">
        <f>0</f>
        <v>0</v>
      </c>
      <c r="K36" s="647"/>
      <c r="L36" s="164"/>
    </row>
    <row r="37" spans="2:56" s="163" customFormat="1" ht="14.4" hidden="1" customHeight="1" x14ac:dyDescent="0.25">
      <c r="B37" s="164"/>
      <c r="E37" s="162" t="s">
        <v>823</v>
      </c>
      <c r="F37" s="658">
        <f>ROUND((SUM(BI92:BI894)),  2)</f>
        <v>0</v>
      </c>
      <c r="I37" s="659">
        <v>0</v>
      </c>
      <c r="J37" s="658">
        <f>0</f>
        <v>0</v>
      </c>
      <c r="K37" s="647"/>
      <c r="L37" s="164"/>
    </row>
    <row r="38" spans="2:56" s="163" customFormat="1" ht="6.9" customHeight="1" x14ac:dyDescent="0.25">
      <c r="B38" s="164"/>
      <c r="K38" s="647"/>
      <c r="L38" s="164"/>
    </row>
    <row r="39" spans="2:56" s="163" customFormat="1" ht="25.35" customHeight="1" x14ac:dyDescent="0.25">
      <c r="B39" s="164"/>
      <c r="D39" s="660" t="s">
        <v>824</v>
      </c>
      <c r="E39" s="661"/>
      <c r="F39" s="661"/>
      <c r="G39" s="662" t="s">
        <v>825</v>
      </c>
      <c r="H39" s="663" t="s">
        <v>826</v>
      </c>
      <c r="I39" s="661"/>
      <c r="J39" s="664">
        <f>SUM(J30:J37)</f>
        <v>0</v>
      </c>
      <c r="K39" s="665"/>
      <c r="L39" s="164"/>
    </row>
    <row r="40" spans="2:56" s="163" customFormat="1" ht="14.4" customHeight="1" x14ac:dyDescent="0.25">
      <c r="B40" s="168"/>
      <c r="C40" s="169"/>
      <c r="D40" s="169"/>
      <c r="E40" s="169"/>
      <c r="F40" s="169"/>
      <c r="G40" s="169"/>
      <c r="H40" s="169"/>
      <c r="I40" s="169"/>
      <c r="J40" s="169"/>
      <c r="K40" s="666"/>
      <c r="L40" s="164"/>
    </row>
    <row r="44" spans="2:56" s="163" customFormat="1" ht="6.9" customHeight="1" x14ac:dyDescent="0.25">
      <c r="B44" s="170"/>
      <c r="C44" s="171"/>
      <c r="D44" s="171"/>
      <c r="E44" s="171"/>
      <c r="F44" s="171"/>
      <c r="G44" s="171"/>
      <c r="H44" s="171"/>
      <c r="I44" s="171"/>
      <c r="J44" s="171"/>
      <c r="K44" s="667"/>
      <c r="L44" s="164"/>
    </row>
    <row r="45" spans="2:56" s="163" customFormat="1" ht="24.9" customHeight="1" x14ac:dyDescent="0.25">
      <c r="B45" s="164"/>
      <c r="C45" s="161" t="s">
        <v>827</v>
      </c>
      <c r="K45" s="647"/>
      <c r="L45" s="164"/>
    </row>
    <row r="46" spans="2:56" s="163" customFormat="1" ht="6.9" customHeight="1" x14ac:dyDescent="0.25">
      <c r="B46" s="164"/>
      <c r="K46" s="647"/>
      <c r="L46" s="164"/>
    </row>
    <row r="47" spans="2:56" s="163" customFormat="1" ht="12" customHeight="1" x14ac:dyDescent="0.25">
      <c r="B47" s="164"/>
      <c r="C47" s="162" t="s">
        <v>706</v>
      </c>
      <c r="K47" s="647"/>
      <c r="L47" s="164"/>
    </row>
    <row r="48" spans="2:56" s="163" customFormat="1" ht="16.5" customHeight="1" x14ac:dyDescent="0.25">
      <c r="B48" s="164"/>
      <c r="E48" s="1016" t="str">
        <f>E7</f>
        <v>Náměstí Běchovice</v>
      </c>
      <c r="F48" s="1017"/>
      <c r="G48" s="1017"/>
      <c r="H48" s="1017"/>
      <c r="K48" s="647"/>
      <c r="L48" s="164"/>
    </row>
    <row r="49" spans="2:47" s="163" customFormat="1" ht="12" customHeight="1" x14ac:dyDescent="0.25">
      <c r="B49" s="164"/>
      <c r="C49" s="162" t="s">
        <v>713</v>
      </c>
      <c r="K49" s="647"/>
      <c r="L49" s="164"/>
    </row>
    <row r="50" spans="2:47" s="163" customFormat="1" ht="16.5" customHeight="1" x14ac:dyDescent="0.25">
      <c r="B50" s="164"/>
      <c r="E50" s="1018" t="str">
        <f>E9</f>
        <v>SO 101 - Komunikace a zpevněné plochy</v>
      </c>
      <c r="F50" s="1019"/>
      <c r="G50" s="1019"/>
      <c r="H50" s="1019"/>
      <c r="K50" s="647"/>
      <c r="L50" s="164"/>
    </row>
    <row r="51" spans="2:47" s="163" customFormat="1" ht="6.9" customHeight="1" x14ac:dyDescent="0.25">
      <c r="B51" s="164"/>
      <c r="K51" s="647"/>
      <c r="L51" s="164"/>
    </row>
    <row r="52" spans="2:47" s="163" customFormat="1" ht="12" customHeight="1" x14ac:dyDescent="0.25">
      <c r="B52" s="164"/>
      <c r="C52" s="162" t="s">
        <v>730</v>
      </c>
      <c r="F52" s="165" t="str">
        <f>F12</f>
        <v>Běchovice, k.ú. 601527</v>
      </c>
      <c r="I52" s="162" t="s">
        <v>732</v>
      </c>
      <c r="J52" s="166" t="str">
        <f>IF(J12="","",J12)</f>
        <v>27. 4. 2021</v>
      </c>
      <c r="K52" s="647"/>
      <c r="L52" s="164"/>
    </row>
    <row r="53" spans="2:47" s="163" customFormat="1" ht="6.9" customHeight="1" x14ac:dyDescent="0.25">
      <c r="B53" s="164"/>
      <c r="K53" s="647"/>
      <c r="L53" s="164"/>
    </row>
    <row r="54" spans="2:47" s="163" customFormat="1" ht="15.15" customHeight="1" x14ac:dyDescent="0.25">
      <c r="B54" s="164"/>
      <c r="C54" s="162" t="s">
        <v>739</v>
      </c>
      <c r="F54" s="165" t="str">
        <f>E15</f>
        <v>Městská část Praha - Běchovice</v>
      </c>
      <c r="I54" s="162" t="s">
        <v>762</v>
      </c>
      <c r="J54" s="650" t="str">
        <f>E21</f>
        <v>DOPAS s.r.o.</v>
      </c>
      <c r="K54" s="647"/>
      <c r="L54" s="164"/>
    </row>
    <row r="55" spans="2:47" s="163" customFormat="1" ht="15.15" customHeight="1" x14ac:dyDescent="0.25">
      <c r="B55" s="164"/>
      <c r="C55" s="162" t="s">
        <v>752</v>
      </c>
      <c r="F55" s="165" t="str">
        <f>IF(E18="","",E18)</f>
        <v xml:space="preserve"> </v>
      </c>
      <c r="I55" s="162" t="s">
        <v>773</v>
      </c>
      <c r="J55" s="650" t="str">
        <f>E24</f>
        <v>L. Štuller</v>
      </c>
      <c r="K55" s="647"/>
      <c r="L55" s="164"/>
    </row>
    <row r="56" spans="2:47" s="163" customFormat="1" ht="10.35" customHeight="1" x14ac:dyDescent="0.25">
      <c r="B56" s="164"/>
      <c r="K56" s="647"/>
      <c r="L56" s="164"/>
    </row>
    <row r="57" spans="2:47" s="163" customFormat="1" ht="29.25" customHeight="1" x14ac:dyDescent="0.25">
      <c r="B57" s="164"/>
      <c r="C57" s="668" t="s">
        <v>828</v>
      </c>
      <c r="J57" s="669" t="s">
        <v>829</v>
      </c>
      <c r="K57" s="647"/>
      <c r="L57" s="164"/>
    </row>
    <row r="58" spans="2:47" s="163" customFormat="1" ht="10.35" customHeight="1" x14ac:dyDescent="0.25">
      <c r="B58" s="164"/>
      <c r="K58" s="647"/>
      <c r="L58" s="164"/>
    </row>
    <row r="59" spans="2:47" s="163" customFormat="1" ht="22.95" customHeight="1" x14ac:dyDescent="0.25">
      <c r="B59" s="164"/>
      <c r="C59" s="670" t="s">
        <v>830</v>
      </c>
      <c r="J59" s="655">
        <f>J92</f>
        <v>0</v>
      </c>
      <c r="K59" s="647"/>
      <c r="L59" s="164"/>
      <c r="AU59" s="157" t="s">
        <v>831</v>
      </c>
    </row>
    <row r="60" spans="2:47" s="672" customFormat="1" ht="24.9" customHeight="1" x14ac:dyDescent="0.25">
      <c r="B60" s="671"/>
      <c r="D60" s="673" t="s">
        <v>832</v>
      </c>
      <c r="E60" s="674"/>
      <c r="F60" s="674"/>
      <c r="G60" s="674"/>
      <c r="H60" s="674"/>
      <c r="I60" s="674"/>
      <c r="J60" s="675">
        <f>J93</f>
        <v>0</v>
      </c>
      <c r="K60" s="676"/>
      <c r="L60" s="671"/>
    </row>
    <row r="61" spans="2:47" s="678" customFormat="1" ht="19.95" customHeight="1" x14ac:dyDescent="0.25">
      <c r="B61" s="677"/>
      <c r="D61" s="679" t="s">
        <v>833</v>
      </c>
      <c r="E61" s="680"/>
      <c r="F61" s="680"/>
      <c r="G61" s="680"/>
      <c r="H61" s="680"/>
      <c r="I61" s="680"/>
      <c r="J61" s="681">
        <f>J94</f>
        <v>0</v>
      </c>
      <c r="K61" s="676"/>
      <c r="L61" s="677"/>
    </row>
    <row r="62" spans="2:47" s="678" customFormat="1" ht="19.95" customHeight="1" x14ac:dyDescent="0.25">
      <c r="B62" s="677"/>
      <c r="D62" s="679" t="s">
        <v>834</v>
      </c>
      <c r="E62" s="680"/>
      <c r="F62" s="680"/>
      <c r="G62" s="680"/>
      <c r="H62" s="680"/>
      <c r="I62" s="680"/>
      <c r="J62" s="681">
        <f>J134</f>
        <v>0</v>
      </c>
      <c r="K62" s="676"/>
      <c r="L62" s="677"/>
    </row>
    <row r="63" spans="2:47" s="678" customFormat="1" ht="19.95" customHeight="1" x14ac:dyDescent="0.25">
      <c r="B63" s="677"/>
      <c r="D63" s="679" t="s">
        <v>835</v>
      </c>
      <c r="E63" s="680"/>
      <c r="F63" s="680"/>
      <c r="G63" s="680"/>
      <c r="H63" s="680"/>
      <c r="I63" s="680"/>
      <c r="J63" s="681">
        <f>J169</f>
        <v>0</v>
      </c>
      <c r="K63" s="676"/>
      <c r="L63" s="677"/>
    </row>
    <row r="64" spans="2:47" s="678" customFormat="1" ht="19.95" customHeight="1" x14ac:dyDescent="0.25">
      <c r="B64" s="677"/>
      <c r="D64" s="679" t="s">
        <v>836</v>
      </c>
      <c r="E64" s="680"/>
      <c r="F64" s="680"/>
      <c r="G64" s="680"/>
      <c r="H64" s="680"/>
      <c r="I64" s="680"/>
      <c r="J64" s="681">
        <f>J186</f>
        <v>0</v>
      </c>
      <c r="K64" s="676"/>
      <c r="L64" s="677"/>
    </row>
    <row r="65" spans="2:12" s="678" customFormat="1" ht="19.95" customHeight="1" x14ac:dyDescent="0.25">
      <c r="B65" s="677"/>
      <c r="D65" s="679" t="s">
        <v>837</v>
      </c>
      <c r="E65" s="680"/>
      <c r="F65" s="680"/>
      <c r="G65" s="680"/>
      <c r="H65" s="680"/>
      <c r="I65" s="680"/>
      <c r="J65" s="681">
        <f>J249</f>
        <v>0</v>
      </c>
      <c r="K65" s="676"/>
      <c r="L65" s="677"/>
    </row>
    <row r="66" spans="2:12" s="678" customFormat="1" ht="19.95" customHeight="1" x14ac:dyDescent="0.25">
      <c r="B66" s="677"/>
      <c r="D66" s="679" t="s">
        <v>838</v>
      </c>
      <c r="E66" s="680"/>
      <c r="F66" s="680"/>
      <c r="G66" s="680"/>
      <c r="H66" s="680"/>
      <c r="I66" s="680"/>
      <c r="J66" s="681">
        <f>J534</f>
        <v>0</v>
      </c>
      <c r="K66" s="676"/>
      <c r="L66" s="677"/>
    </row>
    <row r="67" spans="2:12" s="678" customFormat="1" ht="19.95" customHeight="1" x14ac:dyDescent="0.25">
      <c r="B67" s="677"/>
      <c r="D67" s="679" t="s">
        <v>839</v>
      </c>
      <c r="E67" s="680"/>
      <c r="F67" s="680"/>
      <c r="G67" s="680"/>
      <c r="H67" s="680"/>
      <c r="I67" s="680"/>
      <c r="J67" s="681">
        <f>J547</f>
        <v>0</v>
      </c>
      <c r="K67" s="676"/>
      <c r="L67" s="677"/>
    </row>
    <row r="68" spans="2:12" s="678" customFormat="1" ht="19.95" customHeight="1" x14ac:dyDescent="0.25">
      <c r="B68" s="677"/>
      <c r="D68" s="679" t="s">
        <v>840</v>
      </c>
      <c r="E68" s="680"/>
      <c r="F68" s="680"/>
      <c r="G68" s="680"/>
      <c r="H68" s="680"/>
      <c r="I68" s="680"/>
      <c r="J68" s="681">
        <f>J572</f>
        <v>0</v>
      </c>
      <c r="K68" s="676"/>
      <c r="L68" s="677"/>
    </row>
    <row r="69" spans="2:12" s="678" customFormat="1" ht="19.95" customHeight="1" x14ac:dyDescent="0.25">
      <c r="B69" s="677"/>
      <c r="D69" s="679" t="s">
        <v>841</v>
      </c>
      <c r="E69" s="680"/>
      <c r="F69" s="680"/>
      <c r="G69" s="680"/>
      <c r="H69" s="680"/>
      <c r="I69" s="680"/>
      <c r="J69" s="681">
        <f>J871</f>
        <v>0</v>
      </c>
      <c r="K69" s="676"/>
      <c r="L69" s="677"/>
    </row>
    <row r="70" spans="2:12" s="672" customFormat="1" ht="24.9" customHeight="1" x14ac:dyDescent="0.25">
      <c r="B70" s="671"/>
      <c r="D70" s="673" t="s">
        <v>842</v>
      </c>
      <c r="E70" s="674"/>
      <c r="F70" s="674"/>
      <c r="G70" s="674"/>
      <c r="H70" s="674"/>
      <c r="I70" s="674"/>
      <c r="J70" s="675">
        <f>J873</f>
        <v>0</v>
      </c>
      <c r="K70" s="676"/>
      <c r="L70" s="671"/>
    </row>
    <row r="71" spans="2:12" s="678" customFormat="1" ht="19.95" customHeight="1" x14ac:dyDescent="0.25">
      <c r="B71" s="677"/>
      <c r="D71" s="679" t="s">
        <v>843</v>
      </c>
      <c r="E71" s="680"/>
      <c r="F71" s="680"/>
      <c r="G71" s="680"/>
      <c r="H71" s="680"/>
      <c r="I71" s="680"/>
      <c r="J71" s="681">
        <f>J874</f>
        <v>0</v>
      </c>
      <c r="K71" s="676"/>
      <c r="L71" s="677"/>
    </row>
    <row r="72" spans="2:12" s="678" customFormat="1" ht="19.95" customHeight="1" x14ac:dyDescent="0.25">
      <c r="B72" s="677"/>
      <c r="D72" s="679" t="s">
        <v>844</v>
      </c>
      <c r="E72" s="680"/>
      <c r="F72" s="680"/>
      <c r="G72" s="680"/>
      <c r="H72" s="680"/>
      <c r="I72" s="680"/>
      <c r="J72" s="681">
        <f>J884</f>
        <v>0</v>
      </c>
      <c r="K72" s="676"/>
      <c r="L72" s="677"/>
    </row>
    <row r="73" spans="2:12" s="163" customFormat="1" ht="21.75" customHeight="1" x14ac:dyDescent="0.25">
      <c r="B73" s="164"/>
      <c r="K73" s="647"/>
      <c r="L73" s="164"/>
    </row>
    <row r="74" spans="2:12" s="163" customFormat="1" ht="6.9" customHeight="1" x14ac:dyDescent="0.25">
      <c r="B74" s="168"/>
      <c r="C74" s="169"/>
      <c r="D74" s="169"/>
      <c r="E74" s="169"/>
      <c r="F74" s="169"/>
      <c r="G74" s="169"/>
      <c r="H74" s="169"/>
      <c r="I74" s="169"/>
      <c r="J74" s="169"/>
      <c r="K74" s="666"/>
      <c r="L74" s="164"/>
    </row>
    <row r="78" spans="2:12" s="163" customFormat="1" ht="6.9" customHeight="1" x14ac:dyDescent="0.25">
      <c r="B78" s="170"/>
      <c r="C78" s="171"/>
      <c r="D78" s="171"/>
      <c r="E78" s="171"/>
      <c r="F78" s="171"/>
      <c r="G78" s="171"/>
      <c r="H78" s="171"/>
      <c r="I78" s="171"/>
      <c r="J78" s="171"/>
      <c r="K78" s="667"/>
      <c r="L78" s="164"/>
    </row>
    <row r="79" spans="2:12" s="163" customFormat="1" ht="24.9" customHeight="1" x14ac:dyDescent="0.25">
      <c r="B79" s="164"/>
      <c r="C79" s="161" t="s">
        <v>845</v>
      </c>
      <c r="K79" s="647"/>
      <c r="L79" s="164"/>
    </row>
    <row r="80" spans="2:12" s="163" customFormat="1" ht="6.9" customHeight="1" x14ac:dyDescent="0.25">
      <c r="B80" s="164"/>
      <c r="K80" s="647"/>
      <c r="L80" s="164"/>
    </row>
    <row r="81" spans="2:65" s="163" customFormat="1" ht="12" customHeight="1" x14ac:dyDescent="0.25">
      <c r="B81" s="164"/>
      <c r="C81" s="162" t="s">
        <v>706</v>
      </c>
      <c r="K81" s="647"/>
      <c r="L81" s="164"/>
    </row>
    <row r="82" spans="2:65" s="163" customFormat="1" ht="16.5" customHeight="1" x14ac:dyDescent="0.25">
      <c r="B82" s="164"/>
      <c r="E82" s="1016" t="str">
        <f>E7</f>
        <v>Náměstí Běchovice</v>
      </c>
      <c r="F82" s="1017"/>
      <c r="G82" s="1017"/>
      <c r="H82" s="1017"/>
      <c r="K82" s="647"/>
      <c r="L82" s="164"/>
    </row>
    <row r="83" spans="2:65" s="163" customFormat="1" ht="12" customHeight="1" x14ac:dyDescent="0.25">
      <c r="B83" s="164"/>
      <c r="C83" s="162" t="s">
        <v>713</v>
      </c>
      <c r="K83" s="647"/>
      <c r="L83" s="164"/>
    </row>
    <row r="84" spans="2:65" s="163" customFormat="1" ht="16.5" customHeight="1" x14ac:dyDescent="0.25">
      <c r="B84" s="164"/>
      <c r="E84" s="1018" t="str">
        <f>E9</f>
        <v>SO 101 - Komunikace a zpevněné plochy</v>
      </c>
      <c r="F84" s="1019"/>
      <c r="G84" s="1019"/>
      <c r="H84" s="1019"/>
      <c r="K84" s="647"/>
      <c r="L84" s="164"/>
    </row>
    <row r="85" spans="2:65" s="163" customFormat="1" ht="6.9" customHeight="1" x14ac:dyDescent="0.25">
      <c r="B85" s="164"/>
      <c r="K85" s="647"/>
      <c r="L85" s="164"/>
    </row>
    <row r="86" spans="2:65" s="163" customFormat="1" ht="12" customHeight="1" x14ac:dyDescent="0.25">
      <c r="B86" s="164"/>
      <c r="C86" s="162" t="s">
        <v>730</v>
      </c>
      <c r="F86" s="165" t="str">
        <f>F12</f>
        <v>Běchovice, k.ú. 601527</v>
      </c>
      <c r="I86" s="162" t="s">
        <v>732</v>
      </c>
      <c r="J86" s="166" t="str">
        <f>IF(J12="","",J12)</f>
        <v>27. 4. 2021</v>
      </c>
      <c r="K86" s="647"/>
      <c r="L86" s="164"/>
    </row>
    <row r="87" spans="2:65" s="163" customFormat="1" ht="6.9" customHeight="1" x14ac:dyDescent="0.25">
      <c r="B87" s="164"/>
      <c r="K87" s="647"/>
      <c r="L87" s="164"/>
    </row>
    <row r="88" spans="2:65" s="163" customFormat="1" ht="15.15" customHeight="1" x14ac:dyDescent="0.25">
      <c r="B88" s="164"/>
      <c r="C88" s="162" t="s">
        <v>739</v>
      </c>
      <c r="F88" s="165" t="str">
        <f>E15</f>
        <v>Městská část Praha - Běchovice</v>
      </c>
      <c r="I88" s="162" t="s">
        <v>762</v>
      </c>
      <c r="J88" s="650" t="str">
        <f>E21</f>
        <v>DOPAS s.r.o.</v>
      </c>
      <c r="K88" s="647"/>
      <c r="L88" s="164"/>
    </row>
    <row r="89" spans="2:65" s="163" customFormat="1" ht="15.15" customHeight="1" x14ac:dyDescent="0.25">
      <c r="B89" s="164"/>
      <c r="C89" s="162" t="s">
        <v>752</v>
      </c>
      <c r="F89" s="165" t="str">
        <f>IF(E18="","",E18)</f>
        <v xml:space="preserve"> </v>
      </c>
      <c r="I89" s="162" t="s">
        <v>773</v>
      </c>
      <c r="J89" s="650" t="str">
        <f>E24</f>
        <v>L. Štuller</v>
      </c>
      <c r="K89" s="647"/>
      <c r="L89" s="164"/>
    </row>
    <row r="90" spans="2:65" s="163" customFormat="1" ht="10.35" customHeight="1" x14ac:dyDescent="0.25">
      <c r="B90" s="164"/>
      <c r="K90" s="647"/>
      <c r="L90" s="164"/>
    </row>
    <row r="91" spans="2:65" s="52" customFormat="1" ht="29.25" customHeight="1" x14ac:dyDescent="0.25">
      <c r="B91" s="172"/>
      <c r="C91" s="682" t="s">
        <v>846</v>
      </c>
      <c r="D91" s="683" t="s">
        <v>847</v>
      </c>
      <c r="E91" s="683" t="s">
        <v>848</v>
      </c>
      <c r="F91" s="683" t="s">
        <v>849</v>
      </c>
      <c r="G91" s="683" t="s">
        <v>850</v>
      </c>
      <c r="H91" s="683" t="s">
        <v>851</v>
      </c>
      <c r="I91" s="683" t="s">
        <v>852</v>
      </c>
      <c r="J91" s="683" t="s">
        <v>829</v>
      </c>
      <c r="K91" s="684" t="s">
        <v>853</v>
      </c>
      <c r="L91" s="172"/>
      <c r="M91" s="176" t="s">
        <v>725</v>
      </c>
      <c r="N91" s="177" t="s">
        <v>812</v>
      </c>
      <c r="O91" s="177" t="s">
        <v>854</v>
      </c>
      <c r="P91" s="177" t="s">
        <v>855</v>
      </c>
      <c r="Q91" s="177" t="s">
        <v>856</v>
      </c>
      <c r="R91" s="177" t="s">
        <v>857</v>
      </c>
      <c r="S91" s="177" t="s">
        <v>858</v>
      </c>
      <c r="T91" s="178" t="s">
        <v>859</v>
      </c>
    </row>
    <row r="92" spans="2:65" s="163" customFormat="1" ht="22.95" customHeight="1" x14ac:dyDescent="0.3">
      <c r="B92" s="164"/>
      <c r="C92" s="179" t="s">
        <v>860</v>
      </c>
      <c r="J92" s="685">
        <f>BK92</f>
        <v>0</v>
      </c>
      <c r="K92" s="647"/>
      <c r="L92" s="164"/>
      <c r="M92" s="180"/>
      <c r="N92" s="167"/>
      <c r="O92" s="167"/>
      <c r="P92" s="686">
        <f>P93+P873</f>
        <v>4401.6569500000005</v>
      </c>
      <c r="Q92" s="167"/>
      <c r="R92" s="686">
        <f>R93+R873</f>
        <v>1472.0692525299999</v>
      </c>
      <c r="S92" s="167"/>
      <c r="T92" s="687">
        <f>T93+T873</f>
        <v>50.987050000000004</v>
      </c>
      <c r="AT92" s="157" t="s">
        <v>291</v>
      </c>
      <c r="AU92" s="157" t="s">
        <v>831</v>
      </c>
      <c r="BK92" s="688">
        <f>BK93+BK873</f>
        <v>0</v>
      </c>
    </row>
    <row r="93" spans="2:65" s="690" customFormat="1" ht="25.95" customHeight="1" x14ac:dyDescent="0.25">
      <c r="B93" s="689"/>
      <c r="D93" s="691" t="s">
        <v>291</v>
      </c>
      <c r="E93" s="692" t="s">
        <v>861</v>
      </c>
      <c r="F93" s="692" t="s">
        <v>862</v>
      </c>
      <c r="J93" s="693">
        <f>BK93</f>
        <v>0</v>
      </c>
      <c r="K93" s="694"/>
      <c r="L93" s="689"/>
      <c r="M93" s="695"/>
      <c r="P93" s="696">
        <f>P94+P134+P169+P186+P249+P534+P547+P572+P871</f>
        <v>4392.8877210000001</v>
      </c>
      <c r="R93" s="696">
        <f>R94+R134+R169+R186+R249+R534+R547+R572+R871</f>
        <v>1472.0283597299999</v>
      </c>
      <c r="T93" s="697">
        <f>T94+T134+T169+T186+T249+T534+T547+T572+T871</f>
        <v>50.987050000000004</v>
      </c>
      <c r="AR93" s="691" t="s">
        <v>99</v>
      </c>
      <c r="AT93" s="698" t="s">
        <v>291</v>
      </c>
      <c r="AU93" s="698" t="s">
        <v>301</v>
      </c>
      <c r="AY93" s="691" t="s">
        <v>863</v>
      </c>
      <c r="BK93" s="699">
        <f>BK94+BK134+BK169+BK186+BK249+BK534+BK547+BK572+BK871</f>
        <v>0</v>
      </c>
    </row>
    <row r="94" spans="2:65" s="690" customFormat="1" ht="22.95" customHeight="1" x14ac:dyDescent="0.25">
      <c r="B94" s="689"/>
      <c r="D94" s="691" t="s">
        <v>291</v>
      </c>
      <c r="E94" s="700" t="s">
        <v>99</v>
      </c>
      <c r="F94" s="700" t="s">
        <v>120</v>
      </c>
      <c r="J94" s="701">
        <f>BK94</f>
        <v>0</v>
      </c>
      <c r="K94" s="694"/>
      <c r="L94" s="689"/>
      <c r="M94" s="695"/>
      <c r="P94" s="696">
        <f>SUM(P95:P133)</f>
        <v>94.192935000000006</v>
      </c>
      <c r="R94" s="696">
        <f>SUM(R95:R133)</f>
        <v>71.173000000000002</v>
      </c>
      <c r="T94" s="697">
        <f>SUM(T95:T133)</f>
        <v>0</v>
      </c>
      <c r="AR94" s="691" t="s">
        <v>99</v>
      </c>
      <c r="AT94" s="698" t="s">
        <v>291</v>
      </c>
      <c r="AU94" s="698" t="s">
        <v>99</v>
      </c>
      <c r="AY94" s="691" t="s">
        <v>863</v>
      </c>
      <c r="BK94" s="699">
        <f>SUM(BK95:BK133)</f>
        <v>0</v>
      </c>
    </row>
    <row r="95" spans="2:65" s="163" customFormat="1" ht="30.6" customHeight="1" x14ac:dyDescent="0.25">
      <c r="B95" s="702"/>
      <c r="C95" s="703" t="s">
        <v>99</v>
      </c>
      <c r="D95" s="703" t="s">
        <v>864</v>
      </c>
      <c r="E95" s="704" t="s">
        <v>865</v>
      </c>
      <c r="F95" s="705" t="s">
        <v>866</v>
      </c>
      <c r="G95" s="706" t="s">
        <v>2</v>
      </c>
      <c r="H95" s="707">
        <v>40.67</v>
      </c>
      <c r="I95" s="708"/>
      <c r="J95" s="708">
        <f>ROUND(I95*H95,2)</f>
        <v>0</v>
      </c>
      <c r="K95" s="705" t="s">
        <v>2622</v>
      </c>
      <c r="L95" s="164"/>
      <c r="M95" s="709" t="s">
        <v>725</v>
      </c>
      <c r="N95" s="710" t="s">
        <v>813</v>
      </c>
      <c r="O95" s="711">
        <v>0.23499999999999999</v>
      </c>
      <c r="P95" s="711">
        <f>O95*H95</f>
        <v>9.5574499999999993</v>
      </c>
      <c r="Q95" s="711">
        <v>0</v>
      </c>
      <c r="R95" s="711">
        <f>Q95*H95</f>
        <v>0</v>
      </c>
      <c r="S95" s="711">
        <v>0</v>
      </c>
      <c r="T95" s="712">
        <f>S95*H95</f>
        <v>0</v>
      </c>
      <c r="AR95" s="668" t="s">
        <v>103</v>
      </c>
      <c r="AT95" s="668" t="s">
        <v>864</v>
      </c>
      <c r="AU95" s="668" t="s">
        <v>101</v>
      </c>
      <c r="AY95" s="157" t="s">
        <v>863</v>
      </c>
      <c r="BE95" s="713">
        <f>IF(N95="základní",J95,0)</f>
        <v>0</v>
      </c>
      <c r="BF95" s="713">
        <f>IF(N95="snížená",J95,0)</f>
        <v>0</v>
      </c>
      <c r="BG95" s="713">
        <f>IF(N95="zákl. přenesená",J95,0)</f>
        <v>0</v>
      </c>
      <c r="BH95" s="713">
        <f>IF(N95="sníž. přenesená",J95,0)</f>
        <v>0</v>
      </c>
      <c r="BI95" s="713">
        <f>IF(N95="nulová",J95,0)</f>
        <v>0</v>
      </c>
      <c r="BJ95" s="157" t="s">
        <v>99</v>
      </c>
      <c r="BK95" s="713">
        <f>ROUND(I95*H95,2)</f>
        <v>0</v>
      </c>
      <c r="BL95" s="157" t="s">
        <v>103</v>
      </c>
      <c r="BM95" s="668" t="s">
        <v>867</v>
      </c>
    </row>
    <row r="96" spans="2:65" s="715" customFormat="1" ht="11.4" x14ac:dyDescent="0.25">
      <c r="B96" s="714"/>
      <c r="D96" s="716" t="s">
        <v>868</v>
      </c>
      <c r="E96" s="717" t="s">
        <v>725</v>
      </c>
      <c r="F96" s="718" t="s">
        <v>869</v>
      </c>
      <c r="H96" s="717" t="s">
        <v>725</v>
      </c>
      <c r="K96" s="719"/>
      <c r="L96" s="714"/>
      <c r="M96" s="720"/>
      <c r="T96" s="721"/>
      <c r="AT96" s="717" t="s">
        <v>868</v>
      </c>
      <c r="AU96" s="717" t="s">
        <v>101</v>
      </c>
      <c r="AV96" s="715" t="s">
        <v>99</v>
      </c>
      <c r="AW96" s="715" t="s">
        <v>870</v>
      </c>
      <c r="AX96" s="715" t="s">
        <v>301</v>
      </c>
      <c r="AY96" s="717" t="s">
        <v>863</v>
      </c>
    </row>
    <row r="97" spans="2:65" s="715" customFormat="1" ht="11.4" x14ac:dyDescent="0.25">
      <c r="B97" s="714"/>
      <c r="D97" s="716" t="s">
        <v>868</v>
      </c>
      <c r="E97" s="717" t="s">
        <v>725</v>
      </c>
      <c r="F97" s="718" t="s">
        <v>871</v>
      </c>
      <c r="H97" s="717" t="s">
        <v>725</v>
      </c>
      <c r="K97" s="719"/>
      <c r="L97" s="714"/>
      <c r="M97" s="720"/>
      <c r="T97" s="721"/>
      <c r="AT97" s="717" t="s">
        <v>868</v>
      </c>
      <c r="AU97" s="717" t="s">
        <v>101</v>
      </c>
      <c r="AV97" s="715" t="s">
        <v>99</v>
      </c>
      <c r="AW97" s="715" t="s">
        <v>870</v>
      </c>
      <c r="AX97" s="715" t="s">
        <v>301</v>
      </c>
      <c r="AY97" s="717" t="s">
        <v>863</v>
      </c>
    </row>
    <row r="98" spans="2:65" s="723" customFormat="1" ht="11.4" x14ac:dyDescent="0.25">
      <c r="B98" s="722"/>
      <c r="D98" s="716" t="s">
        <v>868</v>
      </c>
      <c r="E98" s="724" t="s">
        <v>725</v>
      </c>
      <c r="F98" s="725" t="s">
        <v>872</v>
      </c>
      <c r="H98" s="726">
        <v>40.67</v>
      </c>
      <c r="K98" s="727"/>
      <c r="L98" s="722"/>
      <c r="M98" s="728"/>
      <c r="T98" s="729"/>
      <c r="AT98" s="724" t="s">
        <v>868</v>
      </c>
      <c r="AU98" s="724" t="s">
        <v>101</v>
      </c>
      <c r="AV98" s="723" t="s">
        <v>101</v>
      </c>
      <c r="AW98" s="723" t="s">
        <v>870</v>
      </c>
      <c r="AX98" s="723" t="s">
        <v>301</v>
      </c>
      <c r="AY98" s="724" t="s">
        <v>863</v>
      </c>
    </row>
    <row r="99" spans="2:65" s="731" customFormat="1" ht="11.4" x14ac:dyDescent="0.25">
      <c r="B99" s="730"/>
      <c r="D99" s="716" t="s">
        <v>868</v>
      </c>
      <c r="E99" s="732" t="s">
        <v>725</v>
      </c>
      <c r="F99" s="733" t="s">
        <v>873</v>
      </c>
      <c r="H99" s="734">
        <v>40.67</v>
      </c>
      <c r="K99" s="735"/>
      <c r="L99" s="730"/>
      <c r="M99" s="736"/>
      <c r="T99" s="737"/>
      <c r="AT99" s="732" t="s">
        <v>868</v>
      </c>
      <c r="AU99" s="732" t="s">
        <v>101</v>
      </c>
      <c r="AV99" s="731" t="s">
        <v>103</v>
      </c>
      <c r="AW99" s="731" t="s">
        <v>870</v>
      </c>
      <c r="AX99" s="731" t="s">
        <v>99</v>
      </c>
      <c r="AY99" s="732" t="s">
        <v>863</v>
      </c>
    </row>
    <row r="100" spans="2:65" s="163" customFormat="1" ht="21" customHeight="1" x14ac:dyDescent="0.25">
      <c r="B100" s="702"/>
      <c r="C100" s="738" t="s">
        <v>101</v>
      </c>
      <c r="D100" s="738" t="s">
        <v>298</v>
      </c>
      <c r="E100" s="739" t="s">
        <v>874</v>
      </c>
      <c r="F100" s="740" t="s">
        <v>875</v>
      </c>
      <c r="G100" s="741" t="s">
        <v>45</v>
      </c>
      <c r="H100" s="742">
        <v>71.173000000000002</v>
      </c>
      <c r="I100" s="743"/>
      <c r="J100" s="743">
        <f>ROUND(I100*H100,2)</f>
        <v>0</v>
      </c>
      <c r="K100" s="740" t="s">
        <v>2622</v>
      </c>
      <c r="L100" s="744"/>
      <c r="M100" s="745" t="s">
        <v>725</v>
      </c>
      <c r="N100" s="746" t="s">
        <v>813</v>
      </c>
      <c r="O100" s="711">
        <v>0</v>
      </c>
      <c r="P100" s="711">
        <f>O100*H100</f>
        <v>0</v>
      </c>
      <c r="Q100" s="711">
        <v>1</v>
      </c>
      <c r="R100" s="711">
        <f>Q100*H100</f>
        <v>71.173000000000002</v>
      </c>
      <c r="S100" s="711">
        <v>0</v>
      </c>
      <c r="T100" s="712">
        <f>S100*H100</f>
        <v>0</v>
      </c>
      <c r="AR100" s="668" t="s">
        <v>111</v>
      </c>
      <c r="AT100" s="668" t="s">
        <v>298</v>
      </c>
      <c r="AU100" s="668" t="s">
        <v>101</v>
      </c>
      <c r="AY100" s="157" t="s">
        <v>863</v>
      </c>
      <c r="BE100" s="713">
        <f>IF(N100="základní",J100,0)</f>
        <v>0</v>
      </c>
      <c r="BF100" s="713">
        <f>IF(N100="snížená",J100,0)</f>
        <v>0</v>
      </c>
      <c r="BG100" s="713">
        <f>IF(N100="zákl. přenesená",J100,0)</f>
        <v>0</v>
      </c>
      <c r="BH100" s="713">
        <f>IF(N100="sníž. přenesená",J100,0)</f>
        <v>0</v>
      </c>
      <c r="BI100" s="713">
        <f>IF(N100="nulová",J100,0)</f>
        <v>0</v>
      </c>
      <c r="BJ100" s="157" t="s">
        <v>99</v>
      </c>
      <c r="BK100" s="713">
        <f>ROUND(I100*H100,2)</f>
        <v>0</v>
      </c>
      <c r="BL100" s="157" t="s">
        <v>103</v>
      </c>
      <c r="BM100" s="668" t="s">
        <v>876</v>
      </c>
    </row>
    <row r="101" spans="2:65" s="723" customFormat="1" ht="11.4" x14ac:dyDescent="0.25">
      <c r="B101" s="722"/>
      <c r="D101" s="716" t="s">
        <v>868</v>
      </c>
      <c r="F101" s="725" t="s">
        <v>877</v>
      </c>
      <c r="H101" s="726">
        <v>71.173000000000002</v>
      </c>
      <c r="K101" s="727"/>
      <c r="L101" s="722"/>
      <c r="M101" s="728"/>
      <c r="T101" s="729"/>
      <c r="AT101" s="724" t="s">
        <v>868</v>
      </c>
      <c r="AU101" s="724" t="s">
        <v>101</v>
      </c>
      <c r="AV101" s="723" t="s">
        <v>101</v>
      </c>
      <c r="AW101" s="723" t="s">
        <v>699</v>
      </c>
      <c r="AX101" s="723" t="s">
        <v>99</v>
      </c>
      <c r="AY101" s="724" t="s">
        <v>863</v>
      </c>
    </row>
    <row r="102" spans="2:65" s="163" customFormat="1" ht="22.95" customHeight="1" x14ac:dyDescent="0.25">
      <c r="B102" s="702"/>
      <c r="C102" s="703" t="s">
        <v>102</v>
      </c>
      <c r="D102" s="703" t="s">
        <v>864</v>
      </c>
      <c r="E102" s="704" t="s">
        <v>878</v>
      </c>
      <c r="F102" s="705" t="s">
        <v>879</v>
      </c>
      <c r="G102" s="706" t="s">
        <v>15</v>
      </c>
      <c r="H102" s="707">
        <v>2918.4650000000001</v>
      </c>
      <c r="I102" s="708"/>
      <c r="J102" s="708">
        <f>ROUND(I102*H102,2)</f>
        <v>0</v>
      </c>
      <c r="K102" s="705" t="s">
        <v>2622</v>
      </c>
      <c r="L102" s="164"/>
      <c r="M102" s="709" t="s">
        <v>725</v>
      </c>
      <c r="N102" s="710" t="s">
        <v>813</v>
      </c>
      <c r="O102" s="711">
        <v>2.9000000000000001E-2</v>
      </c>
      <c r="P102" s="711">
        <f>O102*H102</f>
        <v>84.635485000000003</v>
      </c>
      <c r="Q102" s="711">
        <v>0</v>
      </c>
      <c r="R102" s="711">
        <f>Q102*H102</f>
        <v>0</v>
      </c>
      <c r="S102" s="711">
        <v>0</v>
      </c>
      <c r="T102" s="712">
        <f>S102*H102</f>
        <v>0</v>
      </c>
      <c r="AR102" s="668" t="s">
        <v>103</v>
      </c>
      <c r="AT102" s="668" t="s">
        <v>864</v>
      </c>
      <c r="AU102" s="668" t="s">
        <v>101</v>
      </c>
      <c r="AY102" s="157" t="s">
        <v>863</v>
      </c>
      <c r="BE102" s="713">
        <f>IF(N102="základní",J102,0)</f>
        <v>0</v>
      </c>
      <c r="BF102" s="713">
        <f>IF(N102="snížená",J102,0)</f>
        <v>0</v>
      </c>
      <c r="BG102" s="713">
        <f>IF(N102="zákl. přenesená",J102,0)</f>
        <v>0</v>
      </c>
      <c r="BH102" s="713">
        <f>IF(N102="sníž. přenesená",J102,0)</f>
        <v>0</v>
      </c>
      <c r="BI102" s="713">
        <f>IF(N102="nulová",J102,0)</f>
        <v>0</v>
      </c>
      <c r="BJ102" s="157" t="s">
        <v>99</v>
      </c>
      <c r="BK102" s="713">
        <f>ROUND(I102*H102,2)</f>
        <v>0</v>
      </c>
      <c r="BL102" s="157" t="s">
        <v>103</v>
      </c>
      <c r="BM102" s="668" t="s">
        <v>880</v>
      </c>
    </row>
    <row r="103" spans="2:65" s="715" customFormat="1" ht="11.4" x14ac:dyDescent="0.25">
      <c r="B103" s="714"/>
      <c r="D103" s="716" t="s">
        <v>868</v>
      </c>
      <c r="E103" s="717" t="s">
        <v>725</v>
      </c>
      <c r="F103" s="718" t="s">
        <v>881</v>
      </c>
      <c r="H103" s="717" t="s">
        <v>725</v>
      </c>
      <c r="K103" s="719"/>
      <c r="L103" s="714"/>
      <c r="M103" s="720"/>
      <c r="T103" s="721"/>
      <c r="AT103" s="717" t="s">
        <v>868</v>
      </c>
      <c r="AU103" s="717" t="s">
        <v>101</v>
      </c>
      <c r="AV103" s="715" t="s">
        <v>99</v>
      </c>
      <c r="AW103" s="715" t="s">
        <v>870</v>
      </c>
      <c r="AX103" s="715" t="s">
        <v>301</v>
      </c>
      <c r="AY103" s="717" t="s">
        <v>863</v>
      </c>
    </row>
    <row r="104" spans="2:65" s="715" customFormat="1" ht="11.4" x14ac:dyDescent="0.25">
      <c r="B104" s="714"/>
      <c r="D104" s="716" t="s">
        <v>868</v>
      </c>
      <c r="E104" s="717" t="s">
        <v>725</v>
      </c>
      <c r="F104" s="718" t="s">
        <v>869</v>
      </c>
      <c r="H104" s="717" t="s">
        <v>725</v>
      </c>
      <c r="K104" s="719"/>
      <c r="L104" s="714"/>
      <c r="M104" s="720"/>
      <c r="T104" s="721"/>
      <c r="AT104" s="717" t="s">
        <v>868</v>
      </c>
      <c r="AU104" s="717" t="s">
        <v>101</v>
      </c>
      <c r="AV104" s="715" t="s">
        <v>99</v>
      </c>
      <c r="AW104" s="715" t="s">
        <v>870</v>
      </c>
      <c r="AX104" s="715" t="s">
        <v>301</v>
      </c>
      <c r="AY104" s="717" t="s">
        <v>863</v>
      </c>
    </row>
    <row r="105" spans="2:65" s="723" customFormat="1" ht="11.4" x14ac:dyDescent="0.25">
      <c r="B105" s="722"/>
      <c r="D105" s="716" t="s">
        <v>868</v>
      </c>
      <c r="E105" s="724" t="s">
        <v>725</v>
      </c>
      <c r="F105" s="725" t="s">
        <v>721</v>
      </c>
      <c r="H105" s="726">
        <v>33.49</v>
      </c>
      <c r="K105" s="727"/>
      <c r="L105" s="722"/>
      <c r="M105" s="728"/>
      <c r="T105" s="729"/>
      <c r="AT105" s="724" t="s">
        <v>868</v>
      </c>
      <c r="AU105" s="724" t="s">
        <v>101</v>
      </c>
      <c r="AV105" s="723" t="s">
        <v>101</v>
      </c>
      <c r="AW105" s="723" t="s">
        <v>870</v>
      </c>
      <c r="AX105" s="723" t="s">
        <v>301</v>
      </c>
      <c r="AY105" s="724" t="s">
        <v>863</v>
      </c>
    </row>
    <row r="106" spans="2:65" s="723" customFormat="1" ht="11.4" x14ac:dyDescent="0.25">
      <c r="B106" s="722"/>
      <c r="D106" s="716" t="s">
        <v>868</v>
      </c>
      <c r="E106" s="724" t="s">
        <v>725</v>
      </c>
      <c r="F106" s="725" t="s">
        <v>786</v>
      </c>
      <c r="H106" s="726">
        <v>10.43</v>
      </c>
      <c r="K106" s="727"/>
      <c r="L106" s="722"/>
      <c r="M106" s="728"/>
      <c r="T106" s="729"/>
      <c r="AT106" s="724" t="s">
        <v>868</v>
      </c>
      <c r="AU106" s="724" t="s">
        <v>101</v>
      </c>
      <c r="AV106" s="723" t="s">
        <v>101</v>
      </c>
      <c r="AW106" s="723" t="s">
        <v>870</v>
      </c>
      <c r="AX106" s="723" t="s">
        <v>301</v>
      </c>
      <c r="AY106" s="724" t="s">
        <v>863</v>
      </c>
    </row>
    <row r="107" spans="2:65" s="723" customFormat="1" ht="11.4" x14ac:dyDescent="0.25">
      <c r="B107" s="722"/>
      <c r="D107" s="716" t="s">
        <v>868</v>
      </c>
      <c r="E107" s="724" t="s">
        <v>725</v>
      </c>
      <c r="F107" s="725" t="s">
        <v>714</v>
      </c>
      <c r="H107" s="726">
        <v>368.67</v>
      </c>
      <c r="K107" s="727"/>
      <c r="L107" s="722"/>
      <c r="M107" s="728"/>
      <c r="T107" s="729"/>
      <c r="AT107" s="724" t="s">
        <v>868</v>
      </c>
      <c r="AU107" s="724" t="s">
        <v>101</v>
      </c>
      <c r="AV107" s="723" t="s">
        <v>101</v>
      </c>
      <c r="AW107" s="723" t="s">
        <v>870</v>
      </c>
      <c r="AX107" s="723" t="s">
        <v>301</v>
      </c>
      <c r="AY107" s="724" t="s">
        <v>863</v>
      </c>
    </row>
    <row r="108" spans="2:65" s="723" customFormat="1" ht="11.4" x14ac:dyDescent="0.25">
      <c r="B108" s="722"/>
      <c r="D108" s="716" t="s">
        <v>868</v>
      </c>
      <c r="E108" s="724" t="s">
        <v>725</v>
      </c>
      <c r="F108" s="725" t="s">
        <v>790</v>
      </c>
      <c r="H108" s="726">
        <v>2.4500000000000002</v>
      </c>
      <c r="K108" s="727"/>
      <c r="L108" s="722"/>
      <c r="M108" s="728"/>
      <c r="T108" s="729"/>
      <c r="AT108" s="724" t="s">
        <v>868</v>
      </c>
      <c r="AU108" s="724" t="s">
        <v>101</v>
      </c>
      <c r="AV108" s="723" t="s">
        <v>101</v>
      </c>
      <c r="AW108" s="723" t="s">
        <v>870</v>
      </c>
      <c r="AX108" s="723" t="s">
        <v>301</v>
      </c>
      <c r="AY108" s="724" t="s">
        <v>863</v>
      </c>
    </row>
    <row r="109" spans="2:65" s="723" customFormat="1" ht="11.4" x14ac:dyDescent="0.25">
      <c r="B109" s="722"/>
      <c r="D109" s="716" t="s">
        <v>868</v>
      </c>
      <c r="E109" s="724" t="s">
        <v>725</v>
      </c>
      <c r="F109" s="725" t="s">
        <v>707</v>
      </c>
      <c r="H109" s="726">
        <v>24.75</v>
      </c>
      <c r="K109" s="727"/>
      <c r="L109" s="722"/>
      <c r="M109" s="728"/>
      <c r="T109" s="729"/>
      <c r="AT109" s="724" t="s">
        <v>868</v>
      </c>
      <c r="AU109" s="724" t="s">
        <v>101</v>
      </c>
      <c r="AV109" s="723" t="s">
        <v>101</v>
      </c>
      <c r="AW109" s="723" t="s">
        <v>870</v>
      </c>
      <c r="AX109" s="723" t="s">
        <v>301</v>
      </c>
      <c r="AY109" s="724" t="s">
        <v>863</v>
      </c>
    </row>
    <row r="110" spans="2:65" s="723" customFormat="1" ht="11.4" x14ac:dyDescent="0.25">
      <c r="B110" s="722"/>
      <c r="D110" s="716" t="s">
        <v>868</v>
      </c>
      <c r="E110" s="724" t="s">
        <v>725</v>
      </c>
      <c r="F110" s="725" t="s">
        <v>703</v>
      </c>
      <c r="H110" s="726">
        <v>33.274999999999999</v>
      </c>
      <c r="K110" s="727"/>
      <c r="L110" s="722"/>
      <c r="M110" s="728"/>
      <c r="T110" s="729"/>
      <c r="AT110" s="724" t="s">
        <v>868</v>
      </c>
      <c r="AU110" s="724" t="s">
        <v>101</v>
      </c>
      <c r="AV110" s="723" t="s">
        <v>101</v>
      </c>
      <c r="AW110" s="723" t="s">
        <v>870</v>
      </c>
      <c r="AX110" s="723" t="s">
        <v>301</v>
      </c>
      <c r="AY110" s="724" t="s">
        <v>863</v>
      </c>
    </row>
    <row r="111" spans="2:65" s="723" customFormat="1" ht="11.4" x14ac:dyDescent="0.25">
      <c r="B111" s="722"/>
      <c r="D111" s="716" t="s">
        <v>868</v>
      </c>
      <c r="E111" s="724" t="s">
        <v>725</v>
      </c>
      <c r="F111" s="725" t="s">
        <v>694</v>
      </c>
      <c r="H111" s="726">
        <v>88</v>
      </c>
      <c r="K111" s="727"/>
      <c r="L111" s="722"/>
      <c r="M111" s="728"/>
      <c r="T111" s="729"/>
      <c r="AT111" s="724" t="s">
        <v>868</v>
      </c>
      <c r="AU111" s="724" t="s">
        <v>101</v>
      </c>
      <c r="AV111" s="723" t="s">
        <v>101</v>
      </c>
      <c r="AW111" s="723" t="s">
        <v>870</v>
      </c>
      <c r="AX111" s="723" t="s">
        <v>301</v>
      </c>
      <c r="AY111" s="724" t="s">
        <v>863</v>
      </c>
    </row>
    <row r="112" spans="2:65" s="723" customFormat="1" ht="11.4" x14ac:dyDescent="0.25">
      <c r="B112" s="722"/>
      <c r="D112" s="716" t="s">
        <v>868</v>
      </c>
      <c r="E112" s="724" t="s">
        <v>725</v>
      </c>
      <c r="F112" s="725" t="s">
        <v>700</v>
      </c>
      <c r="H112" s="726">
        <v>19.25</v>
      </c>
      <c r="K112" s="727"/>
      <c r="L112" s="722"/>
      <c r="M112" s="728"/>
      <c r="T112" s="729"/>
      <c r="AT112" s="724" t="s">
        <v>868</v>
      </c>
      <c r="AU112" s="724" t="s">
        <v>101</v>
      </c>
      <c r="AV112" s="723" t="s">
        <v>101</v>
      </c>
      <c r="AW112" s="723" t="s">
        <v>870</v>
      </c>
      <c r="AX112" s="723" t="s">
        <v>301</v>
      </c>
      <c r="AY112" s="724" t="s">
        <v>863</v>
      </c>
    </row>
    <row r="113" spans="2:51" s="723" customFormat="1" ht="11.4" x14ac:dyDescent="0.25">
      <c r="B113" s="722"/>
      <c r="D113" s="716" t="s">
        <v>868</v>
      </c>
      <c r="E113" s="724" t="s">
        <v>725</v>
      </c>
      <c r="F113" s="725" t="s">
        <v>727</v>
      </c>
      <c r="H113" s="726">
        <v>1088.2</v>
      </c>
      <c r="K113" s="727"/>
      <c r="L113" s="722"/>
      <c r="M113" s="728"/>
      <c r="T113" s="729"/>
      <c r="AT113" s="724" t="s">
        <v>868</v>
      </c>
      <c r="AU113" s="724" t="s">
        <v>101</v>
      </c>
      <c r="AV113" s="723" t="s">
        <v>101</v>
      </c>
      <c r="AW113" s="723" t="s">
        <v>870</v>
      </c>
      <c r="AX113" s="723" t="s">
        <v>301</v>
      </c>
      <c r="AY113" s="724" t="s">
        <v>863</v>
      </c>
    </row>
    <row r="114" spans="2:51" s="723" customFormat="1" ht="11.4" x14ac:dyDescent="0.25">
      <c r="B114" s="722"/>
      <c r="D114" s="716" t="s">
        <v>868</v>
      </c>
      <c r="E114" s="724" t="s">
        <v>725</v>
      </c>
      <c r="F114" s="725" t="s">
        <v>736</v>
      </c>
      <c r="H114" s="726">
        <v>22.67</v>
      </c>
      <c r="K114" s="727"/>
      <c r="L114" s="722"/>
      <c r="M114" s="728"/>
      <c r="T114" s="729"/>
      <c r="AT114" s="724" t="s">
        <v>868</v>
      </c>
      <c r="AU114" s="724" t="s">
        <v>101</v>
      </c>
      <c r="AV114" s="723" t="s">
        <v>101</v>
      </c>
      <c r="AW114" s="723" t="s">
        <v>870</v>
      </c>
      <c r="AX114" s="723" t="s">
        <v>301</v>
      </c>
      <c r="AY114" s="724" t="s">
        <v>863</v>
      </c>
    </row>
    <row r="115" spans="2:51" s="723" customFormat="1" ht="11.4" x14ac:dyDescent="0.25">
      <c r="B115" s="722"/>
      <c r="D115" s="716" t="s">
        <v>868</v>
      </c>
      <c r="E115" s="724" t="s">
        <v>725</v>
      </c>
      <c r="F115" s="725" t="s">
        <v>793</v>
      </c>
      <c r="H115" s="726">
        <v>1.33</v>
      </c>
      <c r="K115" s="727"/>
      <c r="L115" s="722"/>
      <c r="M115" s="728"/>
      <c r="T115" s="729"/>
      <c r="AT115" s="724" t="s">
        <v>868</v>
      </c>
      <c r="AU115" s="724" t="s">
        <v>101</v>
      </c>
      <c r="AV115" s="723" t="s">
        <v>101</v>
      </c>
      <c r="AW115" s="723" t="s">
        <v>870</v>
      </c>
      <c r="AX115" s="723" t="s">
        <v>301</v>
      </c>
      <c r="AY115" s="724" t="s">
        <v>863</v>
      </c>
    </row>
    <row r="116" spans="2:51" s="723" customFormat="1" ht="11.4" x14ac:dyDescent="0.25">
      <c r="B116" s="722"/>
      <c r="D116" s="716" t="s">
        <v>868</v>
      </c>
      <c r="E116" s="724" t="s">
        <v>725</v>
      </c>
      <c r="F116" s="725" t="s">
        <v>741</v>
      </c>
      <c r="H116" s="726">
        <v>10.24</v>
      </c>
      <c r="K116" s="727"/>
      <c r="L116" s="722"/>
      <c r="M116" s="728"/>
      <c r="T116" s="729"/>
      <c r="AT116" s="724" t="s">
        <v>868</v>
      </c>
      <c r="AU116" s="724" t="s">
        <v>101</v>
      </c>
      <c r="AV116" s="723" t="s">
        <v>101</v>
      </c>
      <c r="AW116" s="723" t="s">
        <v>870</v>
      </c>
      <c r="AX116" s="723" t="s">
        <v>301</v>
      </c>
      <c r="AY116" s="724" t="s">
        <v>863</v>
      </c>
    </row>
    <row r="117" spans="2:51" s="723" customFormat="1" ht="11.4" x14ac:dyDescent="0.25">
      <c r="B117" s="722"/>
      <c r="D117" s="716" t="s">
        <v>868</v>
      </c>
      <c r="E117" s="724" t="s">
        <v>725</v>
      </c>
      <c r="F117" s="725" t="s">
        <v>800</v>
      </c>
      <c r="H117" s="726">
        <v>1.03</v>
      </c>
      <c r="K117" s="727"/>
      <c r="L117" s="722"/>
      <c r="M117" s="728"/>
      <c r="T117" s="729"/>
      <c r="AT117" s="724" t="s">
        <v>868</v>
      </c>
      <c r="AU117" s="724" t="s">
        <v>101</v>
      </c>
      <c r="AV117" s="723" t="s">
        <v>101</v>
      </c>
      <c r="AW117" s="723" t="s">
        <v>870</v>
      </c>
      <c r="AX117" s="723" t="s">
        <v>301</v>
      </c>
      <c r="AY117" s="724" t="s">
        <v>863</v>
      </c>
    </row>
    <row r="118" spans="2:51" s="723" customFormat="1" ht="11.4" x14ac:dyDescent="0.25">
      <c r="B118" s="722"/>
      <c r="D118" s="716" t="s">
        <v>868</v>
      </c>
      <c r="E118" s="724" t="s">
        <v>725</v>
      </c>
      <c r="F118" s="725" t="s">
        <v>733</v>
      </c>
      <c r="H118" s="726">
        <v>439.13</v>
      </c>
      <c r="K118" s="727"/>
      <c r="L118" s="722"/>
      <c r="M118" s="728"/>
      <c r="T118" s="729"/>
      <c r="AT118" s="724" t="s">
        <v>868</v>
      </c>
      <c r="AU118" s="724" t="s">
        <v>101</v>
      </c>
      <c r="AV118" s="723" t="s">
        <v>101</v>
      </c>
      <c r="AW118" s="723" t="s">
        <v>870</v>
      </c>
      <c r="AX118" s="723" t="s">
        <v>301</v>
      </c>
      <c r="AY118" s="724" t="s">
        <v>863</v>
      </c>
    </row>
    <row r="119" spans="2:51" s="723" customFormat="1" ht="11.4" x14ac:dyDescent="0.25">
      <c r="B119" s="722"/>
      <c r="D119" s="716" t="s">
        <v>868</v>
      </c>
      <c r="E119" s="724" t="s">
        <v>725</v>
      </c>
      <c r="F119" s="725" t="s">
        <v>796</v>
      </c>
      <c r="H119" s="726">
        <v>10.59</v>
      </c>
      <c r="K119" s="727"/>
      <c r="L119" s="722"/>
      <c r="M119" s="728"/>
      <c r="T119" s="729"/>
      <c r="AT119" s="724" t="s">
        <v>868</v>
      </c>
      <c r="AU119" s="724" t="s">
        <v>101</v>
      </c>
      <c r="AV119" s="723" t="s">
        <v>101</v>
      </c>
      <c r="AW119" s="723" t="s">
        <v>870</v>
      </c>
      <c r="AX119" s="723" t="s">
        <v>301</v>
      </c>
      <c r="AY119" s="724" t="s">
        <v>863</v>
      </c>
    </row>
    <row r="120" spans="2:51" s="723" customFormat="1" ht="11.4" x14ac:dyDescent="0.25">
      <c r="B120" s="722"/>
      <c r="D120" s="716" t="s">
        <v>868</v>
      </c>
      <c r="E120" s="724" t="s">
        <v>725</v>
      </c>
      <c r="F120" s="725" t="s">
        <v>803</v>
      </c>
      <c r="H120" s="726">
        <v>6.39</v>
      </c>
      <c r="K120" s="727"/>
      <c r="L120" s="722"/>
      <c r="M120" s="728"/>
      <c r="T120" s="729"/>
      <c r="AT120" s="724" t="s">
        <v>868</v>
      </c>
      <c r="AU120" s="724" t="s">
        <v>101</v>
      </c>
      <c r="AV120" s="723" t="s">
        <v>101</v>
      </c>
      <c r="AW120" s="723" t="s">
        <v>870</v>
      </c>
      <c r="AX120" s="723" t="s">
        <v>301</v>
      </c>
      <c r="AY120" s="724" t="s">
        <v>863</v>
      </c>
    </row>
    <row r="121" spans="2:51" s="723" customFormat="1" ht="11.4" x14ac:dyDescent="0.25">
      <c r="B121" s="722"/>
      <c r="D121" s="716" t="s">
        <v>868</v>
      </c>
      <c r="E121" s="724" t="s">
        <v>725</v>
      </c>
      <c r="F121" s="725" t="s">
        <v>746</v>
      </c>
      <c r="H121" s="726">
        <v>411.88</v>
      </c>
      <c r="K121" s="727"/>
      <c r="L121" s="722"/>
      <c r="M121" s="728"/>
      <c r="T121" s="729"/>
      <c r="AT121" s="724" t="s">
        <v>868</v>
      </c>
      <c r="AU121" s="724" t="s">
        <v>101</v>
      </c>
      <c r="AV121" s="723" t="s">
        <v>101</v>
      </c>
      <c r="AW121" s="723" t="s">
        <v>870</v>
      </c>
      <c r="AX121" s="723" t="s">
        <v>301</v>
      </c>
      <c r="AY121" s="724" t="s">
        <v>863</v>
      </c>
    </row>
    <row r="122" spans="2:51" s="723" customFormat="1" ht="11.4" x14ac:dyDescent="0.25">
      <c r="B122" s="722"/>
      <c r="D122" s="716" t="s">
        <v>868</v>
      </c>
      <c r="E122" s="724" t="s">
        <v>725</v>
      </c>
      <c r="F122" s="725" t="s">
        <v>749</v>
      </c>
      <c r="H122" s="726">
        <v>33.229999999999997</v>
      </c>
      <c r="K122" s="727"/>
      <c r="L122" s="722"/>
      <c r="M122" s="728"/>
      <c r="T122" s="729"/>
      <c r="AT122" s="724" t="s">
        <v>868</v>
      </c>
      <c r="AU122" s="724" t="s">
        <v>101</v>
      </c>
      <c r="AV122" s="723" t="s">
        <v>101</v>
      </c>
      <c r="AW122" s="723" t="s">
        <v>870</v>
      </c>
      <c r="AX122" s="723" t="s">
        <v>301</v>
      </c>
      <c r="AY122" s="724" t="s">
        <v>863</v>
      </c>
    </row>
    <row r="123" spans="2:51" s="723" customFormat="1" ht="11.4" x14ac:dyDescent="0.25">
      <c r="B123" s="722"/>
      <c r="D123" s="716" t="s">
        <v>868</v>
      </c>
      <c r="E123" s="724" t="s">
        <v>725</v>
      </c>
      <c r="F123" s="725" t="s">
        <v>809</v>
      </c>
      <c r="H123" s="726">
        <v>19.7</v>
      </c>
      <c r="K123" s="727"/>
      <c r="L123" s="722"/>
      <c r="M123" s="728"/>
      <c r="T123" s="729"/>
      <c r="AT123" s="724" t="s">
        <v>868</v>
      </c>
      <c r="AU123" s="724" t="s">
        <v>101</v>
      </c>
      <c r="AV123" s="723" t="s">
        <v>101</v>
      </c>
      <c r="AW123" s="723" t="s">
        <v>870</v>
      </c>
      <c r="AX123" s="723" t="s">
        <v>301</v>
      </c>
      <c r="AY123" s="724" t="s">
        <v>863</v>
      </c>
    </row>
    <row r="124" spans="2:51" s="723" customFormat="1" ht="11.4" x14ac:dyDescent="0.25">
      <c r="B124" s="722"/>
      <c r="D124" s="716" t="s">
        <v>868</v>
      </c>
      <c r="E124" s="724" t="s">
        <v>725</v>
      </c>
      <c r="F124" s="725" t="s">
        <v>814</v>
      </c>
      <c r="H124" s="726">
        <v>11.82</v>
      </c>
      <c r="K124" s="727"/>
      <c r="L124" s="722"/>
      <c r="M124" s="728"/>
      <c r="T124" s="729"/>
      <c r="AT124" s="724" t="s">
        <v>868</v>
      </c>
      <c r="AU124" s="724" t="s">
        <v>101</v>
      </c>
      <c r="AV124" s="723" t="s">
        <v>101</v>
      </c>
      <c r="AW124" s="723" t="s">
        <v>870</v>
      </c>
      <c r="AX124" s="723" t="s">
        <v>301</v>
      </c>
      <c r="AY124" s="724" t="s">
        <v>863</v>
      </c>
    </row>
    <row r="125" spans="2:51" s="723" customFormat="1" ht="11.4" x14ac:dyDescent="0.25">
      <c r="B125" s="722"/>
      <c r="D125" s="716" t="s">
        <v>868</v>
      </c>
      <c r="E125" s="724" t="s">
        <v>725</v>
      </c>
      <c r="F125" s="725" t="s">
        <v>753</v>
      </c>
      <c r="H125" s="726">
        <v>22.34</v>
      </c>
      <c r="K125" s="727"/>
      <c r="L125" s="722"/>
      <c r="M125" s="728"/>
      <c r="T125" s="729"/>
      <c r="AT125" s="724" t="s">
        <v>868</v>
      </c>
      <c r="AU125" s="724" t="s">
        <v>101</v>
      </c>
      <c r="AV125" s="723" t="s">
        <v>101</v>
      </c>
      <c r="AW125" s="723" t="s">
        <v>870</v>
      </c>
      <c r="AX125" s="723" t="s">
        <v>301</v>
      </c>
      <c r="AY125" s="724" t="s">
        <v>863</v>
      </c>
    </row>
    <row r="126" spans="2:51" s="723" customFormat="1" ht="11.4" x14ac:dyDescent="0.25">
      <c r="B126" s="722"/>
      <c r="D126" s="716" t="s">
        <v>868</v>
      </c>
      <c r="E126" s="724" t="s">
        <v>725</v>
      </c>
      <c r="F126" s="725" t="s">
        <v>759</v>
      </c>
      <c r="H126" s="726">
        <v>30.16</v>
      </c>
      <c r="K126" s="727"/>
      <c r="L126" s="722"/>
      <c r="M126" s="728"/>
      <c r="T126" s="729"/>
      <c r="AT126" s="724" t="s">
        <v>868</v>
      </c>
      <c r="AU126" s="724" t="s">
        <v>101</v>
      </c>
      <c r="AV126" s="723" t="s">
        <v>101</v>
      </c>
      <c r="AW126" s="723" t="s">
        <v>870</v>
      </c>
      <c r="AX126" s="723" t="s">
        <v>301</v>
      </c>
      <c r="AY126" s="724" t="s">
        <v>863</v>
      </c>
    </row>
    <row r="127" spans="2:51" s="723" customFormat="1" ht="11.4" x14ac:dyDescent="0.25">
      <c r="B127" s="722"/>
      <c r="D127" s="716" t="s">
        <v>868</v>
      </c>
      <c r="E127" s="724" t="s">
        <v>725</v>
      </c>
      <c r="F127" s="725" t="s">
        <v>818</v>
      </c>
      <c r="H127" s="726">
        <v>8.14</v>
      </c>
      <c r="K127" s="727"/>
      <c r="L127" s="722"/>
      <c r="M127" s="728"/>
      <c r="T127" s="729"/>
      <c r="AT127" s="724" t="s">
        <v>868</v>
      </c>
      <c r="AU127" s="724" t="s">
        <v>101</v>
      </c>
      <c r="AV127" s="723" t="s">
        <v>101</v>
      </c>
      <c r="AW127" s="723" t="s">
        <v>870</v>
      </c>
      <c r="AX127" s="723" t="s">
        <v>301</v>
      </c>
      <c r="AY127" s="724" t="s">
        <v>863</v>
      </c>
    </row>
    <row r="128" spans="2:51" s="723" customFormat="1" ht="11.4" x14ac:dyDescent="0.25">
      <c r="B128" s="722"/>
      <c r="D128" s="716" t="s">
        <v>868</v>
      </c>
      <c r="E128" s="724" t="s">
        <v>725</v>
      </c>
      <c r="F128" s="725" t="s">
        <v>767</v>
      </c>
      <c r="H128" s="726">
        <v>149.35</v>
      </c>
      <c r="K128" s="727"/>
      <c r="L128" s="722"/>
      <c r="M128" s="728"/>
      <c r="T128" s="729"/>
      <c r="AT128" s="724" t="s">
        <v>868</v>
      </c>
      <c r="AU128" s="724" t="s">
        <v>101</v>
      </c>
      <c r="AV128" s="723" t="s">
        <v>101</v>
      </c>
      <c r="AW128" s="723" t="s">
        <v>870</v>
      </c>
      <c r="AX128" s="723" t="s">
        <v>301</v>
      </c>
      <c r="AY128" s="724" t="s">
        <v>863</v>
      </c>
    </row>
    <row r="129" spans="2:65" s="723" customFormat="1" ht="11.4" x14ac:dyDescent="0.25">
      <c r="B129" s="722"/>
      <c r="D129" s="716" t="s">
        <v>868</v>
      </c>
      <c r="E129" s="724" t="s">
        <v>725</v>
      </c>
      <c r="F129" s="725" t="s">
        <v>770</v>
      </c>
      <c r="H129" s="726">
        <v>2.92</v>
      </c>
      <c r="K129" s="727"/>
      <c r="L129" s="722"/>
      <c r="M129" s="728"/>
      <c r="T129" s="729"/>
      <c r="AT129" s="724" t="s">
        <v>868</v>
      </c>
      <c r="AU129" s="724" t="s">
        <v>101</v>
      </c>
      <c r="AV129" s="723" t="s">
        <v>101</v>
      </c>
      <c r="AW129" s="723" t="s">
        <v>870</v>
      </c>
      <c r="AX129" s="723" t="s">
        <v>301</v>
      </c>
      <c r="AY129" s="724" t="s">
        <v>863</v>
      </c>
    </row>
    <row r="130" spans="2:65" s="723" customFormat="1" ht="11.4" x14ac:dyDescent="0.25">
      <c r="B130" s="722"/>
      <c r="D130" s="716" t="s">
        <v>868</v>
      </c>
      <c r="E130" s="724" t="s">
        <v>725</v>
      </c>
      <c r="F130" s="725" t="s">
        <v>775</v>
      </c>
      <c r="H130" s="726">
        <v>39.49</v>
      </c>
      <c r="K130" s="727"/>
      <c r="L130" s="722"/>
      <c r="M130" s="728"/>
      <c r="T130" s="729"/>
      <c r="AT130" s="724" t="s">
        <v>868</v>
      </c>
      <c r="AU130" s="724" t="s">
        <v>101</v>
      </c>
      <c r="AV130" s="723" t="s">
        <v>101</v>
      </c>
      <c r="AW130" s="723" t="s">
        <v>870</v>
      </c>
      <c r="AX130" s="723" t="s">
        <v>301</v>
      </c>
      <c r="AY130" s="724" t="s">
        <v>863</v>
      </c>
    </row>
    <row r="131" spans="2:65" s="723" customFormat="1" ht="11.4" x14ac:dyDescent="0.25">
      <c r="B131" s="722"/>
      <c r="D131" s="716" t="s">
        <v>868</v>
      </c>
      <c r="E131" s="724" t="s">
        <v>725</v>
      </c>
      <c r="F131" s="725" t="s">
        <v>779</v>
      </c>
      <c r="H131" s="726">
        <v>21.36</v>
      </c>
      <c r="K131" s="727"/>
      <c r="L131" s="722"/>
      <c r="M131" s="728"/>
      <c r="T131" s="729"/>
      <c r="AT131" s="724" t="s">
        <v>868</v>
      </c>
      <c r="AU131" s="724" t="s">
        <v>101</v>
      </c>
      <c r="AV131" s="723" t="s">
        <v>101</v>
      </c>
      <c r="AW131" s="723" t="s">
        <v>870</v>
      </c>
      <c r="AX131" s="723" t="s">
        <v>301</v>
      </c>
      <c r="AY131" s="724" t="s">
        <v>863</v>
      </c>
    </row>
    <row r="132" spans="2:65" s="723" customFormat="1" ht="11.4" x14ac:dyDescent="0.25">
      <c r="B132" s="722"/>
      <c r="D132" s="716" t="s">
        <v>868</v>
      </c>
      <c r="E132" s="724" t="s">
        <v>725</v>
      </c>
      <c r="F132" s="725" t="s">
        <v>782</v>
      </c>
      <c r="H132" s="726">
        <v>8.18</v>
      </c>
      <c r="K132" s="727"/>
      <c r="L132" s="722"/>
      <c r="M132" s="728"/>
      <c r="T132" s="729"/>
      <c r="AT132" s="724" t="s">
        <v>868</v>
      </c>
      <c r="AU132" s="724" t="s">
        <v>101</v>
      </c>
      <c r="AV132" s="723" t="s">
        <v>101</v>
      </c>
      <c r="AW132" s="723" t="s">
        <v>870</v>
      </c>
      <c r="AX132" s="723" t="s">
        <v>301</v>
      </c>
      <c r="AY132" s="724" t="s">
        <v>863</v>
      </c>
    </row>
    <row r="133" spans="2:65" s="731" customFormat="1" ht="11.4" x14ac:dyDescent="0.25">
      <c r="B133" s="730"/>
      <c r="D133" s="716" t="s">
        <v>868</v>
      </c>
      <c r="E133" s="732" t="s">
        <v>725</v>
      </c>
      <c r="F133" s="733" t="s">
        <v>873</v>
      </c>
      <c r="H133" s="734">
        <v>2918.4650000000001</v>
      </c>
      <c r="K133" s="735"/>
      <c r="L133" s="730"/>
      <c r="M133" s="736"/>
      <c r="T133" s="737"/>
      <c r="AT133" s="732" t="s">
        <v>868</v>
      </c>
      <c r="AU133" s="732" t="s">
        <v>101</v>
      </c>
      <c r="AV133" s="731" t="s">
        <v>103</v>
      </c>
      <c r="AW133" s="731" t="s">
        <v>870</v>
      </c>
      <c r="AX133" s="731" t="s">
        <v>99</v>
      </c>
      <c r="AY133" s="732" t="s">
        <v>863</v>
      </c>
    </row>
    <row r="134" spans="2:65" s="690" customFormat="1" ht="22.95" customHeight="1" x14ac:dyDescent="0.25">
      <c r="B134" s="689"/>
      <c r="D134" s="691" t="s">
        <v>291</v>
      </c>
      <c r="E134" s="700" t="s">
        <v>101</v>
      </c>
      <c r="F134" s="700" t="s">
        <v>882</v>
      </c>
      <c r="J134" s="701">
        <f>BK134</f>
        <v>0</v>
      </c>
      <c r="K134" s="694"/>
      <c r="L134" s="689"/>
      <c r="M134" s="695"/>
      <c r="P134" s="696">
        <f>SUM(P135:P168)</f>
        <v>134.32098099999999</v>
      </c>
      <c r="R134" s="696">
        <f>SUM(R135:R168)</f>
        <v>50.871030140000002</v>
      </c>
      <c r="T134" s="697">
        <f>SUM(T135:T168)</f>
        <v>0</v>
      </c>
      <c r="AR134" s="691" t="s">
        <v>99</v>
      </c>
      <c r="AT134" s="698" t="s">
        <v>291</v>
      </c>
      <c r="AU134" s="698" t="s">
        <v>99</v>
      </c>
      <c r="AY134" s="691" t="s">
        <v>863</v>
      </c>
      <c r="BK134" s="699">
        <f>SUM(BK135:BK168)</f>
        <v>0</v>
      </c>
    </row>
    <row r="135" spans="2:65" s="163" customFormat="1" ht="24.15" customHeight="1" x14ac:dyDescent="0.25">
      <c r="B135" s="702"/>
      <c r="C135" s="703" t="s">
        <v>103</v>
      </c>
      <c r="D135" s="703" t="s">
        <v>864</v>
      </c>
      <c r="E135" s="704" t="s">
        <v>883</v>
      </c>
      <c r="F135" s="705" t="s">
        <v>884</v>
      </c>
      <c r="G135" s="706" t="s">
        <v>2</v>
      </c>
      <c r="H135" s="707">
        <v>20.582999999999998</v>
      </c>
      <c r="I135" s="708"/>
      <c r="J135" s="708">
        <f>ROUND(I135*H135,2)</f>
        <v>0</v>
      </c>
      <c r="K135" s="705" t="s">
        <v>2622</v>
      </c>
      <c r="L135" s="164"/>
      <c r="M135" s="709" t="s">
        <v>725</v>
      </c>
      <c r="N135" s="710" t="s">
        <v>813</v>
      </c>
      <c r="O135" s="711">
        <v>0.92</v>
      </c>
      <c r="P135" s="711">
        <f>O135*H135</f>
        <v>18.936360000000001</v>
      </c>
      <c r="Q135" s="711">
        <v>0</v>
      </c>
      <c r="R135" s="711">
        <f>Q135*H135</f>
        <v>0</v>
      </c>
      <c r="S135" s="711">
        <v>0</v>
      </c>
      <c r="T135" s="712">
        <f>S135*H135</f>
        <v>0</v>
      </c>
      <c r="AR135" s="668" t="s">
        <v>103</v>
      </c>
      <c r="AT135" s="668" t="s">
        <v>864</v>
      </c>
      <c r="AU135" s="668" t="s">
        <v>101</v>
      </c>
      <c r="AY135" s="157" t="s">
        <v>863</v>
      </c>
      <c r="BE135" s="713">
        <f>IF(N135="základní",J135,0)</f>
        <v>0</v>
      </c>
      <c r="BF135" s="713">
        <f>IF(N135="snížená",J135,0)</f>
        <v>0</v>
      </c>
      <c r="BG135" s="713">
        <f>IF(N135="zákl. přenesená",J135,0)</f>
        <v>0</v>
      </c>
      <c r="BH135" s="713">
        <f>IF(N135="sníž. přenesená",J135,0)</f>
        <v>0</v>
      </c>
      <c r="BI135" s="713">
        <f>IF(N135="nulová",J135,0)</f>
        <v>0</v>
      </c>
      <c r="BJ135" s="157" t="s">
        <v>99</v>
      </c>
      <c r="BK135" s="713">
        <f>ROUND(I135*H135,2)</f>
        <v>0</v>
      </c>
      <c r="BL135" s="157" t="s">
        <v>103</v>
      </c>
      <c r="BM135" s="668" t="s">
        <v>885</v>
      </c>
    </row>
    <row r="136" spans="2:65" s="715" customFormat="1" ht="11.4" x14ac:dyDescent="0.25">
      <c r="B136" s="714"/>
      <c r="D136" s="716" t="s">
        <v>868</v>
      </c>
      <c r="E136" s="717" t="s">
        <v>725</v>
      </c>
      <c r="F136" s="718" t="s">
        <v>886</v>
      </c>
      <c r="H136" s="717" t="s">
        <v>725</v>
      </c>
      <c r="K136" s="719"/>
      <c r="L136" s="714"/>
      <c r="M136" s="720"/>
      <c r="T136" s="721"/>
      <c r="AT136" s="717" t="s">
        <v>868</v>
      </c>
      <c r="AU136" s="717" t="s">
        <v>101</v>
      </c>
      <c r="AV136" s="715" t="s">
        <v>99</v>
      </c>
      <c r="AW136" s="715" t="s">
        <v>870</v>
      </c>
      <c r="AX136" s="715" t="s">
        <v>301</v>
      </c>
      <c r="AY136" s="717" t="s">
        <v>863</v>
      </c>
    </row>
    <row r="137" spans="2:65" s="715" customFormat="1" ht="11.4" x14ac:dyDescent="0.25">
      <c r="B137" s="714"/>
      <c r="D137" s="716" t="s">
        <v>868</v>
      </c>
      <c r="E137" s="717" t="s">
        <v>725</v>
      </c>
      <c r="F137" s="718" t="s">
        <v>887</v>
      </c>
      <c r="H137" s="717" t="s">
        <v>725</v>
      </c>
      <c r="K137" s="719"/>
      <c r="L137" s="714"/>
      <c r="M137" s="720"/>
      <c r="T137" s="721"/>
      <c r="AT137" s="717" t="s">
        <v>868</v>
      </c>
      <c r="AU137" s="717" t="s">
        <v>101</v>
      </c>
      <c r="AV137" s="715" t="s">
        <v>99</v>
      </c>
      <c r="AW137" s="715" t="s">
        <v>870</v>
      </c>
      <c r="AX137" s="715" t="s">
        <v>301</v>
      </c>
      <c r="AY137" s="717" t="s">
        <v>863</v>
      </c>
    </row>
    <row r="138" spans="2:65" s="715" customFormat="1" ht="11.4" x14ac:dyDescent="0.25">
      <c r="B138" s="714"/>
      <c r="D138" s="716" t="s">
        <v>868</v>
      </c>
      <c r="E138" s="717" t="s">
        <v>725</v>
      </c>
      <c r="F138" s="718" t="s">
        <v>888</v>
      </c>
      <c r="H138" s="717" t="s">
        <v>725</v>
      </c>
      <c r="K138" s="719"/>
      <c r="L138" s="714"/>
      <c r="M138" s="720"/>
      <c r="T138" s="721"/>
      <c r="AT138" s="717" t="s">
        <v>868</v>
      </c>
      <c r="AU138" s="717" t="s">
        <v>101</v>
      </c>
      <c r="AV138" s="715" t="s">
        <v>99</v>
      </c>
      <c r="AW138" s="715" t="s">
        <v>870</v>
      </c>
      <c r="AX138" s="715" t="s">
        <v>301</v>
      </c>
      <c r="AY138" s="717" t="s">
        <v>863</v>
      </c>
    </row>
    <row r="139" spans="2:65" s="715" customFormat="1" ht="11.4" x14ac:dyDescent="0.25">
      <c r="B139" s="714"/>
      <c r="D139" s="716" t="s">
        <v>868</v>
      </c>
      <c r="E139" s="717" t="s">
        <v>725</v>
      </c>
      <c r="F139" s="718" t="s">
        <v>889</v>
      </c>
      <c r="H139" s="717" t="s">
        <v>725</v>
      </c>
      <c r="K139" s="719"/>
      <c r="L139" s="714"/>
      <c r="M139" s="720"/>
      <c r="T139" s="721"/>
      <c r="AT139" s="717" t="s">
        <v>868</v>
      </c>
      <c r="AU139" s="717" t="s">
        <v>101</v>
      </c>
      <c r="AV139" s="715" t="s">
        <v>99</v>
      </c>
      <c r="AW139" s="715" t="s">
        <v>870</v>
      </c>
      <c r="AX139" s="715" t="s">
        <v>301</v>
      </c>
      <c r="AY139" s="717" t="s">
        <v>863</v>
      </c>
    </row>
    <row r="140" spans="2:65" s="715" customFormat="1" ht="11.4" x14ac:dyDescent="0.25">
      <c r="B140" s="714"/>
      <c r="D140" s="716" t="s">
        <v>868</v>
      </c>
      <c r="E140" s="717" t="s">
        <v>725</v>
      </c>
      <c r="F140" s="718" t="s">
        <v>890</v>
      </c>
      <c r="H140" s="717" t="s">
        <v>725</v>
      </c>
      <c r="K140" s="719"/>
      <c r="L140" s="714"/>
      <c r="M140" s="720"/>
      <c r="T140" s="721"/>
      <c r="AT140" s="717" t="s">
        <v>868</v>
      </c>
      <c r="AU140" s="717" t="s">
        <v>101</v>
      </c>
      <c r="AV140" s="715" t="s">
        <v>99</v>
      </c>
      <c r="AW140" s="715" t="s">
        <v>870</v>
      </c>
      <c r="AX140" s="715" t="s">
        <v>301</v>
      </c>
      <c r="AY140" s="717" t="s">
        <v>863</v>
      </c>
    </row>
    <row r="141" spans="2:65" s="723" customFormat="1" ht="11.4" x14ac:dyDescent="0.25">
      <c r="B141" s="722"/>
      <c r="D141" s="716" t="s">
        <v>868</v>
      </c>
      <c r="E141" s="724" t="s">
        <v>725</v>
      </c>
      <c r="F141" s="725" t="s">
        <v>891</v>
      </c>
      <c r="H141" s="726">
        <v>5.0579999999999998</v>
      </c>
      <c r="K141" s="727"/>
      <c r="L141" s="722"/>
      <c r="M141" s="728"/>
      <c r="T141" s="729"/>
      <c r="AT141" s="724" t="s">
        <v>868</v>
      </c>
      <c r="AU141" s="724" t="s">
        <v>101</v>
      </c>
      <c r="AV141" s="723" t="s">
        <v>101</v>
      </c>
      <c r="AW141" s="723" t="s">
        <v>870</v>
      </c>
      <c r="AX141" s="723" t="s">
        <v>301</v>
      </c>
      <c r="AY141" s="724" t="s">
        <v>863</v>
      </c>
    </row>
    <row r="142" spans="2:65" s="723" customFormat="1" ht="11.4" x14ac:dyDescent="0.25">
      <c r="B142" s="722"/>
      <c r="D142" s="716" t="s">
        <v>868</v>
      </c>
      <c r="E142" s="724" t="s">
        <v>725</v>
      </c>
      <c r="F142" s="725" t="s">
        <v>892</v>
      </c>
      <c r="H142" s="726">
        <v>1.2050000000000001</v>
      </c>
      <c r="K142" s="727"/>
      <c r="L142" s="722"/>
      <c r="M142" s="728"/>
      <c r="T142" s="729"/>
      <c r="AT142" s="724" t="s">
        <v>868</v>
      </c>
      <c r="AU142" s="724" t="s">
        <v>101</v>
      </c>
      <c r="AV142" s="723" t="s">
        <v>101</v>
      </c>
      <c r="AW142" s="723" t="s">
        <v>870</v>
      </c>
      <c r="AX142" s="723" t="s">
        <v>301</v>
      </c>
      <c r="AY142" s="724" t="s">
        <v>863</v>
      </c>
    </row>
    <row r="143" spans="2:65" s="723" customFormat="1" ht="11.4" x14ac:dyDescent="0.25">
      <c r="B143" s="722"/>
      <c r="D143" s="716" t="s">
        <v>868</v>
      </c>
      <c r="E143" s="724" t="s">
        <v>725</v>
      </c>
      <c r="F143" s="725" t="s">
        <v>893</v>
      </c>
      <c r="H143" s="726">
        <v>8.7279999999999998</v>
      </c>
      <c r="K143" s="727"/>
      <c r="L143" s="722"/>
      <c r="M143" s="728"/>
      <c r="T143" s="729"/>
      <c r="AT143" s="724" t="s">
        <v>868</v>
      </c>
      <c r="AU143" s="724" t="s">
        <v>101</v>
      </c>
      <c r="AV143" s="723" t="s">
        <v>101</v>
      </c>
      <c r="AW143" s="723" t="s">
        <v>870</v>
      </c>
      <c r="AX143" s="723" t="s">
        <v>301</v>
      </c>
      <c r="AY143" s="724" t="s">
        <v>863</v>
      </c>
    </row>
    <row r="144" spans="2:65" s="723" customFormat="1" ht="11.4" x14ac:dyDescent="0.25">
      <c r="B144" s="722"/>
      <c r="D144" s="716" t="s">
        <v>868</v>
      </c>
      <c r="E144" s="724" t="s">
        <v>725</v>
      </c>
      <c r="F144" s="725" t="s">
        <v>894</v>
      </c>
      <c r="H144" s="726">
        <v>4.5330000000000004</v>
      </c>
      <c r="K144" s="727"/>
      <c r="L144" s="722"/>
      <c r="M144" s="728"/>
      <c r="T144" s="729"/>
      <c r="AT144" s="724" t="s">
        <v>868</v>
      </c>
      <c r="AU144" s="724" t="s">
        <v>101</v>
      </c>
      <c r="AV144" s="723" t="s">
        <v>101</v>
      </c>
      <c r="AW144" s="723" t="s">
        <v>870</v>
      </c>
      <c r="AX144" s="723" t="s">
        <v>301</v>
      </c>
      <c r="AY144" s="724" t="s">
        <v>863</v>
      </c>
    </row>
    <row r="145" spans="2:65" s="723" customFormat="1" ht="11.4" x14ac:dyDescent="0.25">
      <c r="B145" s="722"/>
      <c r="D145" s="716" t="s">
        <v>868</v>
      </c>
      <c r="E145" s="724" t="s">
        <v>725</v>
      </c>
      <c r="F145" s="725" t="s">
        <v>895</v>
      </c>
      <c r="H145" s="726">
        <v>1.0589999999999999</v>
      </c>
      <c r="K145" s="727"/>
      <c r="L145" s="722"/>
      <c r="M145" s="728"/>
      <c r="T145" s="729"/>
      <c r="AT145" s="724" t="s">
        <v>868</v>
      </c>
      <c r="AU145" s="724" t="s">
        <v>101</v>
      </c>
      <c r="AV145" s="723" t="s">
        <v>101</v>
      </c>
      <c r="AW145" s="723" t="s">
        <v>870</v>
      </c>
      <c r="AX145" s="723" t="s">
        <v>301</v>
      </c>
      <c r="AY145" s="724" t="s">
        <v>863</v>
      </c>
    </row>
    <row r="146" spans="2:65" s="748" customFormat="1" ht="11.4" x14ac:dyDescent="0.25">
      <c r="B146" s="747"/>
      <c r="D146" s="716" t="s">
        <v>868</v>
      </c>
      <c r="E146" s="749" t="s">
        <v>725</v>
      </c>
      <c r="F146" s="750" t="s">
        <v>896</v>
      </c>
      <c r="H146" s="751">
        <v>20.582999999999998</v>
      </c>
      <c r="K146" s="752"/>
      <c r="L146" s="747"/>
      <c r="M146" s="753"/>
      <c r="T146" s="754"/>
      <c r="AT146" s="749" t="s">
        <v>868</v>
      </c>
      <c r="AU146" s="749" t="s">
        <v>101</v>
      </c>
      <c r="AV146" s="748" t="s">
        <v>102</v>
      </c>
      <c r="AW146" s="748" t="s">
        <v>870</v>
      </c>
      <c r="AX146" s="748" t="s">
        <v>301</v>
      </c>
      <c r="AY146" s="749" t="s">
        <v>863</v>
      </c>
    </row>
    <row r="147" spans="2:65" s="731" customFormat="1" ht="11.4" x14ac:dyDescent="0.25">
      <c r="B147" s="730"/>
      <c r="D147" s="716" t="s">
        <v>868</v>
      </c>
      <c r="E147" s="732" t="s">
        <v>725</v>
      </c>
      <c r="F147" s="733" t="s">
        <v>873</v>
      </c>
      <c r="H147" s="734">
        <v>20.582999999999998</v>
      </c>
      <c r="K147" s="735"/>
      <c r="L147" s="730"/>
      <c r="M147" s="736"/>
      <c r="T147" s="737"/>
      <c r="AT147" s="732" t="s">
        <v>868</v>
      </c>
      <c r="AU147" s="732" t="s">
        <v>101</v>
      </c>
      <c r="AV147" s="731" t="s">
        <v>103</v>
      </c>
      <c r="AW147" s="731" t="s">
        <v>870</v>
      </c>
      <c r="AX147" s="731" t="s">
        <v>99</v>
      </c>
      <c r="AY147" s="732" t="s">
        <v>863</v>
      </c>
    </row>
    <row r="148" spans="2:65" s="163" customFormat="1" ht="31.2" customHeight="1" x14ac:dyDescent="0.25">
      <c r="B148" s="702"/>
      <c r="C148" s="703" t="s">
        <v>105</v>
      </c>
      <c r="D148" s="703" t="s">
        <v>864</v>
      </c>
      <c r="E148" s="704" t="s">
        <v>897</v>
      </c>
      <c r="F148" s="705" t="s">
        <v>898</v>
      </c>
      <c r="G148" s="706" t="s">
        <v>15</v>
      </c>
      <c r="H148" s="707">
        <v>299.18900000000002</v>
      </c>
      <c r="I148" s="708"/>
      <c r="J148" s="708">
        <f>ROUND(I148*H148,2)</f>
        <v>0</v>
      </c>
      <c r="K148" s="705" t="s">
        <v>2622</v>
      </c>
      <c r="L148" s="164"/>
      <c r="M148" s="709" t="s">
        <v>725</v>
      </c>
      <c r="N148" s="710" t="s">
        <v>813</v>
      </c>
      <c r="O148" s="711">
        <v>8.8999999999999996E-2</v>
      </c>
      <c r="P148" s="711">
        <f>O148*H148</f>
        <v>26.627821000000001</v>
      </c>
      <c r="Q148" s="711">
        <v>3.1E-4</v>
      </c>
      <c r="R148" s="711">
        <f>Q148*H148</f>
        <v>9.2748590000000006E-2</v>
      </c>
      <c r="S148" s="711">
        <v>0</v>
      </c>
      <c r="T148" s="712">
        <f>S148*H148</f>
        <v>0</v>
      </c>
      <c r="AR148" s="668" t="s">
        <v>103</v>
      </c>
      <c r="AT148" s="668" t="s">
        <v>864</v>
      </c>
      <c r="AU148" s="668" t="s">
        <v>101</v>
      </c>
      <c r="AY148" s="157" t="s">
        <v>863</v>
      </c>
      <c r="BE148" s="713">
        <f>IF(N148="základní",J148,0)</f>
        <v>0</v>
      </c>
      <c r="BF148" s="713">
        <f>IF(N148="snížená",J148,0)</f>
        <v>0</v>
      </c>
      <c r="BG148" s="713">
        <f>IF(N148="zákl. přenesená",J148,0)</f>
        <v>0</v>
      </c>
      <c r="BH148" s="713">
        <f>IF(N148="sníž. přenesená",J148,0)</f>
        <v>0</v>
      </c>
      <c r="BI148" s="713">
        <f>IF(N148="nulová",J148,0)</f>
        <v>0</v>
      </c>
      <c r="BJ148" s="157" t="s">
        <v>99</v>
      </c>
      <c r="BK148" s="713">
        <f>ROUND(I148*H148,2)</f>
        <v>0</v>
      </c>
      <c r="BL148" s="157" t="s">
        <v>103</v>
      </c>
      <c r="BM148" s="668" t="s">
        <v>899</v>
      </c>
    </row>
    <row r="149" spans="2:65" s="715" customFormat="1" ht="11.4" x14ac:dyDescent="0.25">
      <c r="B149" s="714"/>
      <c r="D149" s="716" t="s">
        <v>868</v>
      </c>
      <c r="E149" s="717" t="s">
        <v>725</v>
      </c>
      <c r="F149" s="718" t="s">
        <v>886</v>
      </c>
      <c r="H149" s="717" t="s">
        <v>725</v>
      </c>
      <c r="K149" s="719"/>
      <c r="L149" s="714"/>
      <c r="M149" s="720"/>
      <c r="T149" s="721"/>
      <c r="AT149" s="717" t="s">
        <v>868</v>
      </c>
      <c r="AU149" s="717" t="s">
        <v>101</v>
      </c>
      <c r="AV149" s="715" t="s">
        <v>99</v>
      </c>
      <c r="AW149" s="715" t="s">
        <v>870</v>
      </c>
      <c r="AX149" s="715" t="s">
        <v>301</v>
      </c>
      <c r="AY149" s="717" t="s">
        <v>863</v>
      </c>
    </row>
    <row r="150" spans="2:65" s="715" customFormat="1" ht="11.4" x14ac:dyDescent="0.25">
      <c r="B150" s="714"/>
      <c r="D150" s="716" t="s">
        <v>868</v>
      </c>
      <c r="E150" s="717" t="s">
        <v>725</v>
      </c>
      <c r="F150" s="718" t="s">
        <v>887</v>
      </c>
      <c r="H150" s="717" t="s">
        <v>725</v>
      </c>
      <c r="K150" s="719"/>
      <c r="L150" s="714"/>
      <c r="M150" s="720"/>
      <c r="T150" s="721"/>
      <c r="AT150" s="717" t="s">
        <v>868</v>
      </c>
      <c r="AU150" s="717" t="s">
        <v>101</v>
      </c>
      <c r="AV150" s="715" t="s">
        <v>99</v>
      </c>
      <c r="AW150" s="715" t="s">
        <v>870</v>
      </c>
      <c r="AX150" s="715" t="s">
        <v>301</v>
      </c>
      <c r="AY150" s="717" t="s">
        <v>863</v>
      </c>
    </row>
    <row r="151" spans="2:65" s="715" customFormat="1" ht="11.4" x14ac:dyDescent="0.25">
      <c r="B151" s="714"/>
      <c r="D151" s="716" t="s">
        <v>868</v>
      </c>
      <c r="E151" s="717" t="s">
        <v>725</v>
      </c>
      <c r="F151" s="718" t="s">
        <v>888</v>
      </c>
      <c r="H151" s="717" t="s">
        <v>725</v>
      </c>
      <c r="K151" s="719"/>
      <c r="L151" s="714"/>
      <c r="M151" s="720"/>
      <c r="T151" s="721"/>
      <c r="AT151" s="717" t="s">
        <v>868</v>
      </c>
      <c r="AU151" s="717" t="s">
        <v>101</v>
      </c>
      <c r="AV151" s="715" t="s">
        <v>99</v>
      </c>
      <c r="AW151" s="715" t="s">
        <v>870</v>
      </c>
      <c r="AX151" s="715" t="s">
        <v>301</v>
      </c>
      <c r="AY151" s="717" t="s">
        <v>863</v>
      </c>
    </row>
    <row r="152" spans="2:65" s="715" customFormat="1" ht="11.4" x14ac:dyDescent="0.25">
      <c r="B152" s="714"/>
      <c r="D152" s="716" t="s">
        <v>868</v>
      </c>
      <c r="E152" s="717" t="s">
        <v>725</v>
      </c>
      <c r="F152" s="718" t="s">
        <v>889</v>
      </c>
      <c r="H152" s="717" t="s">
        <v>725</v>
      </c>
      <c r="K152" s="719"/>
      <c r="L152" s="714"/>
      <c r="M152" s="720"/>
      <c r="T152" s="721"/>
      <c r="AT152" s="717" t="s">
        <v>868</v>
      </c>
      <c r="AU152" s="717" t="s">
        <v>101</v>
      </c>
      <c r="AV152" s="715" t="s">
        <v>99</v>
      </c>
      <c r="AW152" s="715" t="s">
        <v>870</v>
      </c>
      <c r="AX152" s="715" t="s">
        <v>301</v>
      </c>
      <c r="AY152" s="717" t="s">
        <v>863</v>
      </c>
    </row>
    <row r="153" spans="2:65" s="723" customFormat="1" ht="11.4" x14ac:dyDescent="0.25">
      <c r="B153" s="722"/>
      <c r="D153" s="716" t="s">
        <v>868</v>
      </c>
      <c r="E153" s="724" t="s">
        <v>725</v>
      </c>
      <c r="F153" s="725" t="s">
        <v>900</v>
      </c>
      <c r="H153" s="726">
        <v>73.921999999999997</v>
      </c>
      <c r="K153" s="727"/>
      <c r="L153" s="722"/>
      <c r="M153" s="728"/>
      <c r="T153" s="729"/>
      <c r="AT153" s="724" t="s">
        <v>868</v>
      </c>
      <c r="AU153" s="724" t="s">
        <v>101</v>
      </c>
      <c r="AV153" s="723" t="s">
        <v>101</v>
      </c>
      <c r="AW153" s="723" t="s">
        <v>870</v>
      </c>
      <c r="AX153" s="723" t="s">
        <v>301</v>
      </c>
      <c r="AY153" s="724" t="s">
        <v>863</v>
      </c>
    </row>
    <row r="154" spans="2:65" s="723" customFormat="1" ht="11.4" x14ac:dyDescent="0.25">
      <c r="B154" s="722"/>
      <c r="D154" s="716" t="s">
        <v>868</v>
      </c>
      <c r="E154" s="724" t="s">
        <v>725</v>
      </c>
      <c r="F154" s="725" t="s">
        <v>901</v>
      </c>
      <c r="H154" s="726">
        <v>23.821000000000002</v>
      </c>
      <c r="K154" s="727"/>
      <c r="L154" s="722"/>
      <c r="M154" s="728"/>
      <c r="T154" s="729"/>
      <c r="AT154" s="724" t="s">
        <v>868</v>
      </c>
      <c r="AU154" s="724" t="s">
        <v>101</v>
      </c>
      <c r="AV154" s="723" t="s">
        <v>101</v>
      </c>
      <c r="AW154" s="723" t="s">
        <v>870</v>
      </c>
      <c r="AX154" s="723" t="s">
        <v>301</v>
      </c>
      <c r="AY154" s="724" t="s">
        <v>863</v>
      </c>
    </row>
    <row r="155" spans="2:65" s="723" customFormat="1" ht="11.4" x14ac:dyDescent="0.25">
      <c r="B155" s="722"/>
      <c r="D155" s="716" t="s">
        <v>868</v>
      </c>
      <c r="E155" s="724" t="s">
        <v>725</v>
      </c>
      <c r="F155" s="725" t="s">
        <v>902</v>
      </c>
      <c r="H155" s="726">
        <v>111.995</v>
      </c>
      <c r="K155" s="727"/>
      <c r="L155" s="722"/>
      <c r="M155" s="728"/>
      <c r="T155" s="729"/>
      <c r="AT155" s="724" t="s">
        <v>868</v>
      </c>
      <c r="AU155" s="724" t="s">
        <v>101</v>
      </c>
      <c r="AV155" s="723" t="s">
        <v>101</v>
      </c>
      <c r="AW155" s="723" t="s">
        <v>870</v>
      </c>
      <c r="AX155" s="723" t="s">
        <v>301</v>
      </c>
      <c r="AY155" s="724" t="s">
        <v>863</v>
      </c>
    </row>
    <row r="156" spans="2:65" s="723" customFormat="1" ht="11.4" x14ac:dyDescent="0.25">
      <c r="B156" s="722"/>
      <c r="D156" s="716" t="s">
        <v>868</v>
      </c>
      <c r="E156" s="724" t="s">
        <v>725</v>
      </c>
      <c r="F156" s="725" t="s">
        <v>903</v>
      </c>
      <c r="H156" s="726">
        <v>67.997</v>
      </c>
      <c r="K156" s="727"/>
      <c r="L156" s="722"/>
      <c r="M156" s="728"/>
      <c r="T156" s="729"/>
      <c r="AT156" s="724" t="s">
        <v>868</v>
      </c>
      <c r="AU156" s="724" t="s">
        <v>101</v>
      </c>
      <c r="AV156" s="723" t="s">
        <v>101</v>
      </c>
      <c r="AW156" s="723" t="s">
        <v>870</v>
      </c>
      <c r="AX156" s="723" t="s">
        <v>301</v>
      </c>
      <c r="AY156" s="724" t="s">
        <v>863</v>
      </c>
    </row>
    <row r="157" spans="2:65" s="723" customFormat="1" ht="11.4" x14ac:dyDescent="0.25">
      <c r="B157" s="722"/>
      <c r="D157" s="716" t="s">
        <v>868</v>
      </c>
      <c r="E157" s="724" t="s">
        <v>725</v>
      </c>
      <c r="F157" s="725" t="s">
        <v>904</v>
      </c>
      <c r="H157" s="726">
        <v>21.454000000000001</v>
      </c>
      <c r="K157" s="727"/>
      <c r="L157" s="722"/>
      <c r="M157" s="728"/>
      <c r="T157" s="729"/>
      <c r="AT157" s="724" t="s">
        <v>868</v>
      </c>
      <c r="AU157" s="724" t="s">
        <v>101</v>
      </c>
      <c r="AV157" s="723" t="s">
        <v>101</v>
      </c>
      <c r="AW157" s="723" t="s">
        <v>870</v>
      </c>
      <c r="AX157" s="723" t="s">
        <v>301</v>
      </c>
      <c r="AY157" s="724" t="s">
        <v>863</v>
      </c>
    </row>
    <row r="158" spans="2:65" s="748" customFormat="1" ht="11.4" x14ac:dyDescent="0.25">
      <c r="B158" s="747"/>
      <c r="D158" s="716" t="s">
        <v>868</v>
      </c>
      <c r="E158" s="749" t="s">
        <v>725</v>
      </c>
      <c r="F158" s="750" t="s">
        <v>896</v>
      </c>
      <c r="H158" s="751">
        <v>299.18900000000002</v>
      </c>
      <c r="K158" s="752"/>
      <c r="L158" s="747"/>
      <c r="M158" s="753"/>
      <c r="T158" s="754"/>
      <c r="AT158" s="749" t="s">
        <v>868</v>
      </c>
      <c r="AU158" s="749" t="s">
        <v>101</v>
      </c>
      <c r="AV158" s="748" t="s">
        <v>102</v>
      </c>
      <c r="AW158" s="748" t="s">
        <v>870</v>
      </c>
      <c r="AX158" s="748" t="s">
        <v>301</v>
      </c>
      <c r="AY158" s="749" t="s">
        <v>863</v>
      </c>
    </row>
    <row r="159" spans="2:65" s="731" customFormat="1" ht="11.4" x14ac:dyDescent="0.25">
      <c r="B159" s="730"/>
      <c r="D159" s="716" t="s">
        <v>868</v>
      </c>
      <c r="E159" s="732" t="s">
        <v>725</v>
      </c>
      <c r="F159" s="733" t="s">
        <v>873</v>
      </c>
      <c r="H159" s="734">
        <v>299.18900000000002</v>
      </c>
      <c r="K159" s="735"/>
      <c r="L159" s="730"/>
      <c r="M159" s="736"/>
      <c r="T159" s="737"/>
      <c r="AT159" s="732" t="s">
        <v>868</v>
      </c>
      <c r="AU159" s="732" t="s">
        <v>101</v>
      </c>
      <c r="AV159" s="731" t="s">
        <v>103</v>
      </c>
      <c r="AW159" s="731" t="s">
        <v>870</v>
      </c>
      <c r="AX159" s="731" t="s">
        <v>99</v>
      </c>
      <c r="AY159" s="732" t="s">
        <v>863</v>
      </c>
    </row>
    <row r="160" spans="2:65" s="163" customFormat="1" ht="14.4" customHeight="1" x14ac:dyDescent="0.25">
      <c r="B160" s="702"/>
      <c r="C160" s="738" t="s">
        <v>107</v>
      </c>
      <c r="D160" s="738" t="s">
        <v>298</v>
      </c>
      <c r="E160" s="739" t="s">
        <v>905</v>
      </c>
      <c r="F160" s="740" t="s">
        <v>906</v>
      </c>
      <c r="G160" s="741" t="s">
        <v>15</v>
      </c>
      <c r="H160" s="742">
        <v>354.38900000000001</v>
      </c>
      <c r="I160" s="743"/>
      <c r="J160" s="743">
        <f>ROUND(I160*H160,2)</f>
        <v>0</v>
      </c>
      <c r="K160" s="740" t="s">
        <v>2622</v>
      </c>
      <c r="L160" s="744"/>
      <c r="M160" s="745" t="s">
        <v>725</v>
      </c>
      <c r="N160" s="746" t="s">
        <v>813</v>
      </c>
      <c r="O160" s="711">
        <v>0</v>
      </c>
      <c r="P160" s="711">
        <f>O160*H160</f>
        <v>0</v>
      </c>
      <c r="Q160" s="711">
        <v>3.5E-4</v>
      </c>
      <c r="R160" s="711">
        <f>Q160*H160</f>
        <v>0.12403615</v>
      </c>
      <c r="S160" s="711">
        <v>0</v>
      </c>
      <c r="T160" s="712">
        <f>S160*H160</f>
        <v>0</v>
      </c>
      <c r="AR160" s="668" t="s">
        <v>111</v>
      </c>
      <c r="AT160" s="668" t="s">
        <v>298</v>
      </c>
      <c r="AU160" s="668" t="s">
        <v>101</v>
      </c>
      <c r="AY160" s="157" t="s">
        <v>863</v>
      </c>
      <c r="BE160" s="713">
        <f>IF(N160="základní",J160,0)</f>
        <v>0</v>
      </c>
      <c r="BF160" s="713">
        <f>IF(N160="snížená",J160,0)</f>
        <v>0</v>
      </c>
      <c r="BG160" s="713">
        <f>IF(N160="zákl. přenesená",J160,0)</f>
        <v>0</v>
      </c>
      <c r="BH160" s="713">
        <f>IF(N160="sníž. přenesená",J160,0)</f>
        <v>0</v>
      </c>
      <c r="BI160" s="713">
        <f>IF(N160="nulová",J160,0)</f>
        <v>0</v>
      </c>
      <c r="BJ160" s="157" t="s">
        <v>99</v>
      </c>
      <c r="BK160" s="713">
        <f>ROUND(I160*H160,2)</f>
        <v>0</v>
      </c>
      <c r="BL160" s="157" t="s">
        <v>103</v>
      </c>
      <c r="BM160" s="668" t="s">
        <v>907</v>
      </c>
    </row>
    <row r="161" spans="2:65" s="723" customFormat="1" ht="11.4" x14ac:dyDescent="0.25">
      <c r="B161" s="722"/>
      <c r="D161" s="716" t="s">
        <v>868</v>
      </c>
      <c r="F161" s="725" t="s">
        <v>908</v>
      </c>
      <c r="H161" s="726">
        <v>354.38900000000001</v>
      </c>
      <c r="K161" s="727"/>
      <c r="L161" s="722"/>
      <c r="M161" s="728"/>
      <c r="T161" s="729"/>
      <c r="AT161" s="724" t="s">
        <v>868</v>
      </c>
      <c r="AU161" s="724" t="s">
        <v>101</v>
      </c>
      <c r="AV161" s="723" t="s">
        <v>101</v>
      </c>
      <c r="AW161" s="723" t="s">
        <v>699</v>
      </c>
      <c r="AX161" s="723" t="s">
        <v>99</v>
      </c>
      <c r="AY161" s="724" t="s">
        <v>863</v>
      </c>
    </row>
    <row r="162" spans="2:65" s="163" customFormat="1" ht="34.950000000000003" customHeight="1" x14ac:dyDescent="0.25">
      <c r="B162" s="702"/>
      <c r="C162" s="703" t="s">
        <v>109</v>
      </c>
      <c r="D162" s="703" t="s">
        <v>864</v>
      </c>
      <c r="E162" s="704" t="s">
        <v>909</v>
      </c>
      <c r="F162" s="705" t="s">
        <v>910</v>
      </c>
      <c r="G162" s="706" t="s">
        <v>140</v>
      </c>
      <c r="H162" s="707">
        <v>184.91</v>
      </c>
      <c r="I162" s="708"/>
      <c r="J162" s="708">
        <f>ROUND(I162*H162,2)</f>
        <v>0</v>
      </c>
      <c r="K162" s="705" t="s">
        <v>2622</v>
      </c>
      <c r="L162" s="164"/>
      <c r="M162" s="709" t="s">
        <v>725</v>
      </c>
      <c r="N162" s="710" t="s">
        <v>813</v>
      </c>
      <c r="O162" s="711">
        <v>0.43</v>
      </c>
      <c r="P162" s="711">
        <f>O162*H162</f>
        <v>79.511299999999991</v>
      </c>
      <c r="Q162" s="711">
        <v>0.27378000000000002</v>
      </c>
      <c r="R162" s="711">
        <f>Q162*H162</f>
        <v>50.624659800000003</v>
      </c>
      <c r="S162" s="711">
        <v>0</v>
      </c>
      <c r="T162" s="712">
        <f>S162*H162</f>
        <v>0</v>
      </c>
      <c r="AR162" s="668" t="s">
        <v>103</v>
      </c>
      <c r="AT162" s="668" t="s">
        <v>864</v>
      </c>
      <c r="AU162" s="668" t="s">
        <v>101</v>
      </c>
      <c r="AY162" s="157" t="s">
        <v>863</v>
      </c>
      <c r="BE162" s="713">
        <f>IF(N162="základní",J162,0)</f>
        <v>0</v>
      </c>
      <c r="BF162" s="713">
        <f>IF(N162="snížená",J162,0)</f>
        <v>0</v>
      </c>
      <c r="BG162" s="713">
        <f>IF(N162="zákl. přenesená",J162,0)</f>
        <v>0</v>
      </c>
      <c r="BH162" s="713">
        <f>IF(N162="sníž. přenesená",J162,0)</f>
        <v>0</v>
      </c>
      <c r="BI162" s="713">
        <f>IF(N162="nulová",J162,0)</f>
        <v>0</v>
      </c>
      <c r="BJ162" s="157" t="s">
        <v>99</v>
      </c>
      <c r="BK162" s="713">
        <f>ROUND(I162*H162,2)</f>
        <v>0</v>
      </c>
      <c r="BL162" s="157" t="s">
        <v>103</v>
      </c>
      <c r="BM162" s="668" t="s">
        <v>911</v>
      </c>
    </row>
    <row r="163" spans="2:65" s="715" customFormat="1" ht="11.4" x14ac:dyDescent="0.25">
      <c r="B163" s="714"/>
      <c r="D163" s="716" t="s">
        <v>868</v>
      </c>
      <c r="E163" s="717" t="s">
        <v>725</v>
      </c>
      <c r="F163" s="718" t="s">
        <v>886</v>
      </c>
      <c r="H163" s="717" t="s">
        <v>725</v>
      </c>
      <c r="K163" s="719"/>
      <c r="L163" s="714"/>
      <c r="M163" s="720"/>
      <c r="T163" s="721"/>
      <c r="AT163" s="717" t="s">
        <v>868</v>
      </c>
      <c r="AU163" s="717" t="s">
        <v>101</v>
      </c>
      <c r="AV163" s="715" t="s">
        <v>99</v>
      </c>
      <c r="AW163" s="715" t="s">
        <v>870</v>
      </c>
      <c r="AX163" s="715" t="s">
        <v>301</v>
      </c>
      <c r="AY163" s="717" t="s">
        <v>863</v>
      </c>
    </row>
    <row r="164" spans="2:65" s="723" customFormat="1" ht="11.4" x14ac:dyDescent="0.25">
      <c r="B164" s="722"/>
      <c r="D164" s="716" t="s">
        <v>868</v>
      </c>
      <c r="E164" s="724" t="s">
        <v>725</v>
      </c>
      <c r="F164" s="725" t="s">
        <v>691</v>
      </c>
      <c r="H164" s="726">
        <v>184.91</v>
      </c>
      <c r="K164" s="727"/>
      <c r="L164" s="722"/>
      <c r="M164" s="728"/>
      <c r="T164" s="729"/>
      <c r="AT164" s="724" t="s">
        <v>868</v>
      </c>
      <c r="AU164" s="724" t="s">
        <v>101</v>
      </c>
      <c r="AV164" s="723" t="s">
        <v>101</v>
      </c>
      <c r="AW164" s="723" t="s">
        <v>870</v>
      </c>
      <c r="AX164" s="723" t="s">
        <v>301</v>
      </c>
      <c r="AY164" s="724" t="s">
        <v>863</v>
      </c>
    </row>
    <row r="165" spans="2:65" s="731" customFormat="1" ht="11.4" x14ac:dyDescent="0.25">
      <c r="B165" s="730"/>
      <c r="D165" s="716" t="s">
        <v>868</v>
      </c>
      <c r="E165" s="732" t="s">
        <v>725</v>
      </c>
      <c r="F165" s="733" t="s">
        <v>873</v>
      </c>
      <c r="H165" s="734">
        <v>184.91</v>
      </c>
      <c r="K165" s="735"/>
      <c r="L165" s="730"/>
      <c r="M165" s="736"/>
      <c r="T165" s="737"/>
      <c r="AT165" s="732" t="s">
        <v>868</v>
      </c>
      <c r="AU165" s="732" t="s">
        <v>101</v>
      </c>
      <c r="AV165" s="731" t="s">
        <v>103</v>
      </c>
      <c r="AW165" s="731" t="s">
        <v>870</v>
      </c>
      <c r="AX165" s="731" t="s">
        <v>99</v>
      </c>
      <c r="AY165" s="732" t="s">
        <v>863</v>
      </c>
    </row>
    <row r="166" spans="2:65" s="163" customFormat="1" ht="14.4" customHeight="1" x14ac:dyDescent="0.25">
      <c r="B166" s="702"/>
      <c r="C166" s="703" t="s">
        <v>111</v>
      </c>
      <c r="D166" s="703" t="s">
        <v>864</v>
      </c>
      <c r="E166" s="704" t="s">
        <v>912</v>
      </c>
      <c r="F166" s="705" t="s">
        <v>913</v>
      </c>
      <c r="G166" s="706" t="s">
        <v>140</v>
      </c>
      <c r="H166" s="707">
        <v>184.91</v>
      </c>
      <c r="I166" s="708"/>
      <c r="J166" s="708">
        <f>ROUND(I166*H166,2)</f>
        <v>0</v>
      </c>
      <c r="K166" s="705" t="s">
        <v>2622</v>
      </c>
      <c r="L166" s="164"/>
      <c r="M166" s="709" t="s">
        <v>725</v>
      </c>
      <c r="N166" s="710" t="s">
        <v>813</v>
      </c>
      <c r="O166" s="711">
        <v>0.05</v>
      </c>
      <c r="P166" s="711">
        <f>O166*H166</f>
        <v>9.2454999999999998</v>
      </c>
      <c r="Q166" s="711">
        <v>1.6000000000000001E-4</v>
      </c>
      <c r="R166" s="711">
        <f>Q166*H166</f>
        <v>2.9585600000000004E-2</v>
      </c>
      <c r="S166" s="711">
        <v>0</v>
      </c>
      <c r="T166" s="712">
        <f>S166*H166</f>
        <v>0</v>
      </c>
      <c r="AR166" s="668" t="s">
        <v>103</v>
      </c>
      <c r="AT166" s="668" t="s">
        <v>864</v>
      </c>
      <c r="AU166" s="668" t="s">
        <v>101</v>
      </c>
      <c r="AY166" s="157" t="s">
        <v>863</v>
      </c>
      <c r="BE166" s="713">
        <f>IF(N166="základní",J166,0)</f>
        <v>0</v>
      </c>
      <c r="BF166" s="713">
        <f>IF(N166="snížená",J166,0)</f>
        <v>0</v>
      </c>
      <c r="BG166" s="713">
        <f>IF(N166="zákl. přenesená",J166,0)</f>
        <v>0</v>
      </c>
      <c r="BH166" s="713">
        <f>IF(N166="sníž. přenesená",J166,0)</f>
        <v>0</v>
      </c>
      <c r="BI166" s="713">
        <f>IF(N166="nulová",J166,0)</f>
        <v>0</v>
      </c>
      <c r="BJ166" s="157" t="s">
        <v>99</v>
      </c>
      <c r="BK166" s="713">
        <f>ROUND(I166*H166,2)</f>
        <v>0</v>
      </c>
      <c r="BL166" s="157" t="s">
        <v>103</v>
      </c>
      <c r="BM166" s="668" t="s">
        <v>914</v>
      </c>
    </row>
    <row r="167" spans="2:65" s="715" customFormat="1" ht="11.4" x14ac:dyDescent="0.25">
      <c r="B167" s="714"/>
      <c r="D167" s="716" t="s">
        <v>868</v>
      </c>
      <c r="E167" s="717" t="s">
        <v>725</v>
      </c>
      <c r="F167" s="718" t="s">
        <v>915</v>
      </c>
      <c r="H167" s="717" t="s">
        <v>725</v>
      </c>
      <c r="K167" s="719"/>
      <c r="L167" s="714"/>
      <c r="M167" s="720"/>
      <c r="T167" s="721"/>
      <c r="AT167" s="717" t="s">
        <v>868</v>
      </c>
      <c r="AU167" s="717" t="s">
        <v>101</v>
      </c>
      <c r="AV167" s="715" t="s">
        <v>99</v>
      </c>
      <c r="AW167" s="715" t="s">
        <v>870</v>
      </c>
      <c r="AX167" s="715" t="s">
        <v>301</v>
      </c>
      <c r="AY167" s="717" t="s">
        <v>863</v>
      </c>
    </row>
    <row r="168" spans="2:65" s="723" customFormat="1" ht="11.4" x14ac:dyDescent="0.25">
      <c r="B168" s="722"/>
      <c r="D168" s="716" t="s">
        <v>868</v>
      </c>
      <c r="E168" s="724" t="s">
        <v>725</v>
      </c>
      <c r="F168" s="725" t="s">
        <v>916</v>
      </c>
      <c r="H168" s="726">
        <v>184.91</v>
      </c>
      <c r="K168" s="727"/>
      <c r="L168" s="722"/>
      <c r="M168" s="728"/>
      <c r="T168" s="729"/>
      <c r="AT168" s="724" t="s">
        <v>868</v>
      </c>
      <c r="AU168" s="724" t="s">
        <v>101</v>
      </c>
      <c r="AV168" s="723" t="s">
        <v>101</v>
      </c>
      <c r="AW168" s="723" t="s">
        <v>870</v>
      </c>
      <c r="AX168" s="723" t="s">
        <v>99</v>
      </c>
      <c r="AY168" s="724" t="s">
        <v>863</v>
      </c>
    </row>
    <row r="169" spans="2:65" s="690" customFormat="1" ht="22.95" customHeight="1" x14ac:dyDescent="0.25">
      <c r="B169" s="689"/>
      <c r="D169" s="691" t="s">
        <v>291</v>
      </c>
      <c r="E169" s="700" t="s">
        <v>102</v>
      </c>
      <c r="F169" s="700" t="s">
        <v>917</v>
      </c>
      <c r="J169" s="701">
        <f>BK169</f>
        <v>0</v>
      </c>
      <c r="K169" s="694"/>
      <c r="L169" s="689"/>
      <c r="M169" s="695"/>
      <c r="P169" s="696">
        <f>SUM(P170:P185)</f>
        <v>7.5600000000000005</v>
      </c>
      <c r="R169" s="696">
        <f>SUM(R170:R185)</f>
        <v>1.8151487999999996</v>
      </c>
      <c r="T169" s="697">
        <f>SUM(T170:T185)</f>
        <v>0</v>
      </c>
      <c r="AR169" s="691" t="s">
        <v>99</v>
      </c>
      <c r="AT169" s="698" t="s">
        <v>291</v>
      </c>
      <c r="AU169" s="698" t="s">
        <v>99</v>
      </c>
      <c r="AY169" s="691" t="s">
        <v>863</v>
      </c>
      <c r="BK169" s="699">
        <f>SUM(BK170:BK185)</f>
        <v>0</v>
      </c>
    </row>
    <row r="170" spans="2:65" s="163" customFormat="1" ht="22.95" customHeight="1" x14ac:dyDescent="0.25">
      <c r="B170" s="702"/>
      <c r="C170" s="703" t="s">
        <v>112</v>
      </c>
      <c r="D170" s="703" t="s">
        <v>864</v>
      </c>
      <c r="E170" s="704" t="s">
        <v>918</v>
      </c>
      <c r="F170" s="705" t="s">
        <v>919</v>
      </c>
      <c r="G170" s="706" t="s">
        <v>920</v>
      </c>
      <c r="H170" s="707">
        <v>40</v>
      </c>
      <c r="I170" s="708"/>
      <c r="J170" s="708">
        <f>ROUND(I170*H170,2)</f>
        <v>0</v>
      </c>
      <c r="K170" s="705" t="s">
        <v>2622</v>
      </c>
      <c r="L170" s="164"/>
      <c r="M170" s="709" t="s">
        <v>725</v>
      </c>
      <c r="N170" s="710" t="s">
        <v>813</v>
      </c>
      <c r="O170" s="711">
        <v>0.189</v>
      </c>
      <c r="P170" s="711">
        <f>O170*H170</f>
        <v>7.5600000000000005</v>
      </c>
      <c r="Q170" s="711">
        <v>3.3509999999999998E-2</v>
      </c>
      <c r="R170" s="711">
        <f>Q170*H170</f>
        <v>1.3403999999999998</v>
      </c>
      <c r="S170" s="711">
        <v>0</v>
      </c>
      <c r="T170" s="712">
        <f>S170*H170</f>
        <v>0</v>
      </c>
      <c r="AR170" s="668" t="s">
        <v>103</v>
      </c>
      <c r="AT170" s="668" t="s">
        <v>864</v>
      </c>
      <c r="AU170" s="668" t="s">
        <v>101</v>
      </c>
      <c r="AY170" s="157" t="s">
        <v>863</v>
      </c>
      <c r="BE170" s="713">
        <f>IF(N170="základní",J170,0)</f>
        <v>0</v>
      </c>
      <c r="BF170" s="713">
        <f>IF(N170="snížená",J170,0)</f>
        <v>0</v>
      </c>
      <c r="BG170" s="713">
        <f>IF(N170="zákl. přenesená",J170,0)</f>
        <v>0</v>
      </c>
      <c r="BH170" s="713">
        <f>IF(N170="sníž. přenesená",J170,0)</f>
        <v>0</v>
      </c>
      <c r="BI170" s="713">
        <f>IF(N170="nulová",J170,0)</f>
        <v>0</v>
      </c>
      <c r="BJ170" s="157" t="s">
        <v>99</v>
      </c>
      <c r="BK170" s="713">
        <f>ROUND(I170*H170,2)</f>
        <v>0</v>
      </c>
      <c r="BL170" s="157" t="s">
        <v>103</v>
      </c>
      <c r="BM170" s="668" t="s">
        <v>921</v>
      </c>
    </row>
    <row r="171" spans="2:65" s="715" customFormat="1" ht="11.4" x14ac:dyDescent="0.25">
      <c r="B171" s="714"/>
      <c r="D171" s="716" t="s">
        <v>868</v>
      </c>
      <c r="E171" s="717" t="s">
        <v>725</v>
      </c>
      <c r="F171" s="718" t="s">
        <v>922</v>
      </c>
      <c r="H171" s="717" t="s">
        <v>725</v>
      </c>
      <c r="K171" s="719"/>
      <c r="L171" s="714"/>
      <c r="M171" s="720"/>
      <c r="T171" s="721"/>
      <c r="AT171" s="717" t="s">
        <v>868</v>
      </c>
      <c r="AU171" s="717" t="s">
        <v>101</v>
      </c>
      <c r="AV171" s="715" t="s">
        <v>99</v>
      </c>
      <c r="AW171" s="715" t="s">
        <v>870</v>
      </c>
      <c r="AX171" s="715" t="s">
        <v>301</v>
      </c>
      <c r="AY171" s="717" t="s">
        <v>863</v>
      </c>
    </row>
    <row r="172" spans="2:65" s="723" customFormat="1" ht="11.4" x14ac:dyDescent="0.25">
      <c r="B172" s="722"/>
      <c r="D172" s="716" t="s">
        <v>868</v>
      </c>
      <c r="E172" s="724" t="s">
        <v>725</v>
      </c>
      <c r="F172" s="725" t="s">
        <v>923</v>
      </c>
      <c r="H172" s="726">
        <v>1</v>
      </c>
      <c r="K172" s="727"/>
      <c r="L172" s="722"/>
      <c r="M172" s="728"/>
      <c r="T172" s="729"/>
      <c r="AT172" s="724" t="s">
        <v>868</v>
      </c>
      <c r="AU172" s="724" t="s">
        <v>101</v>
      </c>
      <c r="AV172" s="723" t="s">
        <v>101</v>
      </c>
      <c r="AW172" s="723" t="s">
        <v>870</v>
      </c>
      <c r="AX172" s="723" t="s">
        <v>301</v>
      </c>
      <c r="AY172" s="724" t="s">
        <v>863</v>
      </c>
    </row>
    <row r="173" spans="2:65" s="723" customFormat="1" ht="11.4" x14ac:dyDescent="0.25">
      <c r="B173" s="722"/>
      <c r="D173" s="716" t="s">
        <v>868</v>
      </c>
      <c r="E173" s="724" t="s">
        <v>725</v>
      </c>
      <c r="F173" s="725" t="s">
        <v>924</v>
      </c>
      <c r="H173" s="726">
        <v>27</v>
      </c>
      <c r="K173" s="727"/>
      <c r="L173" s="722"/>
      <c r="M173" s="728"/>
      <c r="T173" s="729"/>
      <c r="AT173" s="724" t="s">
        <v>868</v>
      </c>
      <c r="AU173" s="724" t="s">
        <v>101</v>
      </c>
      <c r="AV173" s="723" t="s">
        <v>101</v>
      </c>
      <c r="AW173" s="723" t="s">
        <v>870</v>
      </c>
      <c r="AX173" s="723" t="s">
        <v>301</v>
      </c>
      <c r="AY173" s="724" t="s">
        <v>863</v>
      </c>
    </row>
    <row r="174" spans="2:65" s="715" customFormat="1" ht="11.4" x14ac:dyDescent="0.25">
      <c r="B174" s="714"/>
      <c r="D174" s="716" t="s">
        <v>868</v>
      </c>
      <c r="E174" s="717" t="s">
        <v>725</v>
      </c>
      <c r="F174" s="718" t="s">
        <v>925</v>
      </c>
      <c r="H174" s="717" t="s">
        <v>725</v>
      </c>
      <c r="K174" s="719"/>
      <c r="L174" s="714"/>
      <c r="M174" s="720"/>
      <c r="T174" s="721"/>
      <c r="AT174" s="717" t="s">
        <v>868</v>
      </c>
      <c r="AU174" s="717" t="s">
        <v>101</v>
      </c>
      <c r="AV174" s="715" t="s">
        <v>99</v>
      </c>
      <c r="AW174" s="715" t="s">
        <v>870</v>
      </c>
      <c r="AX174" s="715" t="s">
        <v>301</v>
      </c>
      <c r="AY174" s="717" t="s">
        <v>863</v>
      </c>
    </row>
    <row r="175" spans="2:65" s="723" customFormat="1" ht="11.4" x14ac:dyDescent="0.25">
      <c r="B175" s="722"/>
      <c r="D175" s="716" t="s">
        <v>868</v>
      </c>
      <c r="E175" s="724" t="s">
        <v>725</v>
      </c>
      <c r="F175" s="725" t="s">
        <v>926</v>
      </c>
      <c r="H175" s="726">
        <v>8</v>
      </c>
      <c r="K175" s="727"/>
      <c r="L175" s="722"/>
      <c r="M175" s="728"/>
      <c r="T175" s="729"/>
      <c r="AT175" s="724" t="s">
        <v>868</v>
      </c>
      <c r="AU175" s="724" t="s">
        <v>101</v>
      </c>
      <c r="AV175" s="723" t="s">
        <v>101</v>
      </c>
      <c r="AW175" s="723" t="s">
        <v>870</v>
      </c>
      <c r="AX175" s="723" t="s">
        <v>301</v>
      </c>
      <c r="AY175" s="724" t="s">
        <v>863</v>
      </c>
    </row>
    <row r="176" spans="2:65" s="723" customFormat="1" ht="11.4" x14ac:dyDescent="0.25">
      <c r="B176" s="722"/>
      <c r="D176" s="716" t="s">
        <v>868</v>
      </c>
      <c r="E176" s="724" t="s">
        <v>725</v>
      </c>
      <c r="F176" s="725" t="s">
        <v>927</v>
      </c>
      <c r="H176" s="726">
        <v>4</v>
      </c>
      <c r="K176" s="727"/>
      <c r="L176" s="722"/>
      <c r="M176" s="728"/>
      <c r="T176" s="729"/>
      <c r="AT176" s="724" t="s">
        <v>868</v>
      </c>
      <c r="AU176" s="724" t="s">
        <v>101</v>
      </c>
      <c r="AV176" s="723" t="s">
        <v>101</v>
      </c>
      <c r="AW176" s="723" t="s">
        <v>870</v>
      </c>
      <c r="AX176" s="723" t="s">
        <v>301</v>
      </c>
      <c r="AY176" s="724" t="s">
        <v>863</v>
      </c>
    </row>
    <row r="177" spans="2:65" s="731" customFormat="1" ht="11.4" x14ac:dyDescent="0.25">
      <c r="B177" s="730"/>
      <c r="D177" s="716" t="s">
        <v>868</v>
      </c>
      <c r="E177" s="732" t="s">
        <v>725</v>
      </c>
      <c r="F177" s="733" t="s">
        <v>873</v>
      </c>
      <c r="H177" s="734">
        <v>40</v>
      </c>
      <c r="K177" s="735"/>
      <c r="L177" s="730"/>
      <c r="M177" s="736"/>
      <c r="T177" s="737"/>
      <c r="AT177" s="732" t="s">
        <v>868</v>
      </c>
      <c r="AU177" s="732" t="s">
        <v>101</v>
      </c>
      <c r="AV177" s="731" t="s">
        <v>103</v>
      </c>
      <c r="AW177" s="731" t="s">
        <v>870</v>
      </c>
      <c r="AX177" s="731" t="s">
        <v>99</v>
      </c>
      <c r="AY177" s="732" t="s">
        <v>863</v>
      </c>
    </row>
    <row r="178" spans="2:65" s="163" customFormat="1" ht="14.4" customHeight="1" x14ac:dyDescent="0.25">
      <c r="B178" s="702"/>
      <c r="C178" s="738" t="s">
        <v>928</v>
      </c>
      <c r="D178" s="738" t="s">
        <v>298</v>
      </c>
      <c r="E178" s="739" t="s">
        <v>929</v>
      </c>
      <c r="F178" s="740" t="s">
        <v>930</v>
      </c>
      <c r="G178" s="741" t="s">
        <v>920</v>
      </c>
      <c r="H178" s="742">
        <v>1.02</v>
      </c>
      <c r="I178" s="743"/>
      <c r="J178" s="743">
        <f>ROUND(I178*H178,2)</f>
        <v>0</v>
      </c>
      <c r="K178" s="740" t="s">
        <v>931</v>
      </c>
      <c r="L178" s="744"/>
      <c r="M178" s="745" t="s">
        <v>725</v>
      </c>
      <c r="N178" s="746" t="s">
        <v>813</v>
      </c>
      <c r="O178" s="711">
        <v>0</v>
      </c>
      <c r="P178" s="711">
        <f>O178*H178</f>
        <v>0</v>
      </c>
      <c r="Q178" s="711">
        <v>8.9999999999999993E-3</v>
      </c>
      <c r="R178" s="711">
        <f>Q178*H178</f>
        <v>9.1799999999999989E-3</v>
      </c>
      <c r="S178" s="711">
        <v>0</v>
      </c>
      <c r="T178" s="712">
        <f>S178*H178</f>
        <v>0</v>
      </c>
      <c r="AR178" s="668" t="s">
        <v>111</v>
      </c>
      <c r="AT178" s="668" t="s">
        <v>298</v>
      </c>
      <c r="AU178" s="668" t="s">
        <v>101</v>
      </c>
      <c r="AY178" s="157" t="s">
        <v>863</v>
      </c>
      <c r="BE178" s="713">
        <f>IF(N178="základní",J178,0)</f>
        <v>0</v>
      </c>
      <c r="BF178" s="713">
        <f>IF(N178="snížená",J178,0)</f>
        <v>0</v>
      </c>
      <c r="BG178" s="713">
        <f>IF(N178="zákl. přenesená",J178,0)</f>
        <v>0</v>
      </c>
      <c r="BH178" s="713">
        <f>IF(N178="sníž. přenesená",J178,0)</f>
        <v>0</v>
      </c>
      <c r="BI178" s="713">
        <f>IF(N178="nulová",J178,0)</f>
        <v>0</v>
      </c>
      <c r="BJ178" s="157" t="s">
        <v>99</v>
      </c>
      <c r="BK178" s="713">
        <f>ROUND(I178*H178,2)</f>
        <v>0</v>
      </c>
      <c r="BL178" s="157" t="s">
        <v>103</v>
      </c>
      <c r="BM178" s="668" t="s">
        <v>932</v>
      </c>
    </row>
    <row r="179" spans="2:65" s="723" customFormat="1" ht="11.4" x14ac:dyDescent="0.25">
      <c r="B179" s="722"/>
      <c r="D179" s="716" t="s">
        <v>868</v>
      </c>
      <c r="F179" s="725" t="s">
        <v>933</v>
      </c>
      <c r="H179" s="726">
        <v>1.02</v>
      </c>
      <c r="K179" s="727"/>
      <c r="L179" s="722"/>
      <c r="M179" s="728"/>
      <c r="T179" s="729"/>
      <c r="AT179" s="724" t="s">
        <v>868</v>
      </c>
      <c r="AU179" s="724" t="s">
        <v>101</v>
      </c>
      <c r="AV179" s="723" t="s">
        <v>101</v>
      </c>
      <c r="AW179" s="723" t="s">
        <v>699</v>
      </c>
      <c r="AX179" s="723" t="s">
        <v>99</v>
      </c>
      <c r="AY179" s="724" t="s">
        <v>863</v>
      </c>
    </row>
    <row r="180" spans="2:65" s="163" customFormat="1" ht="14.4" customHeight="1" x14ac:dyDescent="0.25">
      <c r="B180" s="702"/>
      <c r="C180" s="738" t="s">
        <v>934</v>
      </c>
      <c r="D180" s="738" t="s">
        <v>298</v>
      </c>
      <c r="E180" s="739" t="s">
        <v>935</v>
      </c>
      <c r="F180" s="740" t="s">
        <v>936</v>
      </c>
      <c r="G180" s="741" t="s">
        <v>920</v>
      </c>
      <c r="H180" s="742">
        <v>27.54</v>
      </c>
      <c r="I180" s="743"/>
      <c r="J180" s="743">
        <f>ROUND(I180*H180,2)</f>
        <v>0</v>
      </c>
      <c r="K180" s="740" t="s">
        <v>931</v>
      </c>
      <c r="L180" s="744"/>
      <c r="M180" s="745" t="s">
        <v>725</v>
      </c>
      <c r="N180" s="746" t="s">
        <v>813</v>
      </c>
      <c r="O180" s="711">
        <v>0</v>
      </c>
      <c r="P180" s="711">
        <f>O180*H180</f>
        <v>0</v>
      </c>
      <c r="Q180" s="711">
        <v>1.0999999999999999E-2</v>
      </c>
      <c r="R180" s="711">
        <f>Q180*H180</f>
        <v>0.30293999999999999</v>
      </c>
      <c r="S180" s="711">
        <v>0</v>
      </c>
      <c r="T180" s="712">
        <f>S180*H180</f>
        <v>0</v>
      </c>
      <c r="AR180" s="668" t="s">
        <v>111</v>
      </c>
      <c r="AT180" s="668" t="s">
        <v>298</v>
      </c>
      <c r="AU180" s="668" t="s">
        <v>101</v>
      </c>
      <c r="AY180" s="157" t="s">
        <v>863</v>
      </c>
      <c r="BE180" s="713">
        <f>IF(N180="základní",J180,0)</f>
        <v>0</v>
      </c>
      <c r="BF180" s="713">
        <f>IF(N180="snížená",J180,0)</f>
        <v>0</v>
      </c>
      <c r="BG180" s="713">
        <f>IF(N180="zákl. přenesená",J180,0)</f>
        <v>0</v>
      </c>
      <c r="BH180" s="713">
        <f>IF(N180="sníž. přenesená",J180,0)</f>
        <v>0</v>
      </c>
      <c r="BI180" s="713">
        <f>IF(N180="nulová",J180,0)</f>
        <v>0</v>
      </c>
      <c r="BJ180" s="157" t="s">
        <v>99</v>
      </c>
      <c r="BK180" s="713">
        <f>ROUND(I180*H180,2)</f>
        <v>0</v>
      </c>
      <c r="BL180" s="157" t="s">
        <v>103</v>
      </c>
      <c r="BM180" s="668" t="s">
        <v>937</v>
      </c>
    </row>
    <row r="181" spans="2:65" s="723" customFormat="1" ht="11.4" x14ac:dyDescent="0.25">
      <c r="B181" s="722"/>
      <c r="D181" s="716" t="s">
        <v>868</v>
      </c>
      <c r="F181" s="725" t="s">
        <v>938</v>
      </c>
      <c r="H181" s="726">
        <v>27.54</v>
      </c>
      <c r="K181" s="727"/>
      <c r="L181" s="722"/>
      <c r="M181" s="728"/>
      <c r="T181" s="729"/>
      <c r="AT181" s="724" t="s">
        <v>868</v>
      </c>
      <c r="AU181" s="724" t="s">
        <v>101</v>
      </c>
      <c r="AV181" s="723" t="s">
        <v>101</v>
      </c>
      <c r="AW181" s="723" t="s">
        <v>699</v>
      </c>
      <c r="AX181" s="723" t="s">
        <v>99</v>
      </c>
      <c r="AY181" s="724" t="s">
        <v>863</v>
      </c>
    </row>
    <row r="182" spans="2:65" s="163" customFormat="1" ht="14.4" customHeight="1" x14ac:dyDescent="0.25">
      <c r="B182" s="702"/>
      <c r="C182" s="738" t="s">
        <v>122</v>
      </c>
      <c r="D182" s="738" t="s">
        <v>298</v>
      </c>
      <c r="E182" s="739" t="s">
        <v>939</v>
      </c>
      <c r="F182" s="740" t="s">
        <v>940</v>
      </c>
      <c r="G182" s="741" t="s">
        <v>920</v>
      </c>
      <c r="H182" s="742">
        <v>8.16</v>
      </c>
      <c r="I182" s="743"/>
      <c r="J182" s="743">
        <f>ROUND(I182*H182,2)</f>
        <v>0</v>
      </c>
      <c r="K182" s="740" t="s">
        <v>931</v>
      </c>
      <c r="L182" s="744"/>
      <c r="M182" s="745" t="s">
        <v>725</v>
      </c>
      <c r="N182" s="746" t="s">
        <v>813</v>
      </c>
      <c r="O182" s="711">
        <v>0</v>
      </c>
      <c r="P182" s="711">
        <f>O182*H182</f>
        <v>0</v>
      </c>
      <c r="Q182" s="711">
        <v>1.333E-2</v>
      </c>
      <c r="R182" s="711">
        <f>Q182*H182</f>
        <v>0.1087728</v>
      </c>
      <c r="S182" s="711">
        <v>0</v>
      </c>
      <c r="T182" s="712">
        <f>S182*H182</f>
        <v>0</v>
      </c>
      <c r="AR182" s="668" t="s">
        <v>111</v>
      </c>
      <c r="AT182" s="668" t="s">
        <v>298</v>
      </c>
      <c r="AU182" s="668" t="s">
        <v>101</v>
      </c>
      <c r="AY182" s="157" t="s">
        <v>863</v>
      </c>
      <c r="BE182" s="713">
        <f>IF(N182="základní",J182,0)</f>
        <v>0</v>
      </c>
      <c r="BF182" s="713">
        <f>IF(N182="snížená",J182,0)</f>
        <v>0</v>
      </c>
      <c r="BG182" s="713">
        <f>IF(N182="zákl. přenesená",J182,0)</f>
        <v>0</v>
      </c>
      <c r="BH182" s="713">
        <f>IF(N182="sníž. přenesená",J182,0)</f>
        <v>0</v>
      </c>
      <c r="BI182" s="713">
        <f>IF(N182="nulová",J182,0)</f>
        <v>0</v>
      </c>
      <c r="BJ182" s="157" t="s">
        <v>99</v>
      </c>
      <c r="BK182" s="713">
        <f>ROUND(I182*H182,2)</f>
        <v>0</v>
      </c>
      <c r="BL182" s="157" t="s">
        <v>103</v>
      </c>
      <c r="BM182" s="668" t="s">
        <v>941</v>
      </c>
    </row>
    <row r="183" spans="2:65" s="723" customFormat="1" ht="11.4" x14ac:dyDescent="0.25">
      <c r="B183" s="722"/>
      <c r="D183" s="716" t="s">
        <v>868</v>
      </c>
      <c r="F183" s="725" t="s">
        <v>942</v>
      </c>
      <c r="H183" s="726">
        <v>8.16</v>
      </c>
      <c r="K183" s="727"/>
      <c r="L183" s="722"/>
      <c r="M183" s="728"/>
      <c r="T183" s="729"/>
      <c r="AT183" s="724" t="s">
        <v>868</v>
      </c>
      <c r="AU183" s="724" t="s">
        <v>101</v>
      </c>
      <c r="AV183" s="723" t="s">
        <v>101</v>
      </c>
      <c r="AW183" s="723" t="s">
        <v>699</v>
      </c>
      <c r="AX183" s="723" t="s">
        <v>99</v>
      </c>
      <c r="AY183" s="724" t="s">
        <v>863</v>
      </c>
    </row>
    <row r="184" spans="2:65" s="163" customFormat="1" ht="14.4" customHeight="1" x14ac:dyDescent="0.25">
      <c r="B184" s="702"/>
      <c r="C184" s="738" t="s">
        <v>123</v>
      </c>
      <c r="D184" s="738" t="s">
        <v>298</v>
      </c>
      <c r="E184" s="739" t="s">
        <v>943</v>
      </c>
      <c r="F184" s="740" t="s">
        <v>944</v>
      </c>
      <c r="G184" s="741" t="s">
        <v>920</v>
      </c>
      <c r="H184" s="742">
        <v>4.08</v>
      </c>
      <c r="I184" s="743"/>
      <c r="J184" s="743">
        <f>ROUND(I184*H184,2)</f>
        <v>0</v>
      </c>
      <c r="K184" s="740" t="s">
        <v>931</v>
      </c>
      <c r="L184" s="744"/>
      <c r="M184" s="745" t="s">
        <v>725</v>
      </c>
      <c r="N184" s="746" t="s">
        <v>813</v>
      </c>
      <c r="O184" s="711">
        <v>0</v>
      </c>
      <c r="P184" s="711">
        <f>O184*H184</f>
        <v>0</v>
      </c>
      <c r="Q184" s="711">
        <v>1.32E-2</v>
      </c>
      <c r="R184" s="711">
        <f>Q184*H184</f>
        <v>5.3856000000000001E-2</v>
      </c>
      <c r="S184" s="711">
        <v>0</v>
      </c>
      <c r="T184" s="712">
        <f>S184*H184</f>
        <v>0</v>
      </c>
      <c r="AR184" s="668" t="s">
        <v>111</v>
      </c>
      <c r="AT184" s="668" t="s">
        <v>298</v>
      </c>
      <c r="AU184" s="668" t="s">
        <v>101</v>
      </c>
      <c r="AY184" s="157" t="s">
        <v>863</v>
      </c>
      <c r="BE184" s="713">
        <f>IF(N184="základní",J184,0)</f>
        <v>0</v>
      </c>
      <c r="BF184" s="713">
        <f>IF(N184="snížená",J184,0)</f>
        <v>0</v>
      </c>
      <c r="BG184" s="713">
        <f>IF(N184="zákl. přenesená",J184,0)</f>
        <v>0</v>
      </c>
      <c r="BH184" s="713">
        <f>IF(N184="sníž. přenesená",J184,0)</f>
        <v>0</v>
      </c>
      <c r="BI184" s="713">
        <f>IF(N184="nulová",J184,0)</f>
        <v>0</v>
      </c>
      <c r="BJ184" s="157" t="s">
        <v>99</v>
      </c>
      <c r="BK184" s="713">
        <f>ROUND(I184*H184,2)</f>
        <v>0</v>
      </c>
      <c r="BL184" s="157" t="s">
        <v>103</v>
      </c>
      <c r="BM184" s="668" t="s">
        <v>945</v>
      </c>
    </row>
    <row r="185" spans="2:65" s="723" customFormat="1" ht="11.4" x14ac:dyDescent="0.25">
      <c r="B185" s="722"/>
      <c r="D185" s="716" t="s">
        <v>868</v>
      </c>
      <c r="F185" s="725" t="s">
        <v>946</v>
      </c>
      <c r="H185" s="726">
        <v>4.08</v>
      </c>
      <c r="K185" s="727"/>
      <c r="L185" s="722"/>
      <c r="M185" s="728"/>
      <c r="T185" s="729"/>
      <c r="AT185" s="724" t="s">
        <v>868</v>
      </c>
      <c r="AU185" s="724" t="s">
        <v>101</v>
      </c>
      <c r="AV185" s="723" t="s">
        <v>101</v>
      </c>
      <c r="AW185" s="723" t="s">
        <v>699</v>
      </c>
      <c r="AX185" s="723" t="s">
        <v>99</v>
      </c>
      <c r="AY185" s="724" t="s">
        <v>863</v>
      </c>
    </row>
    <row r="186" spans="2:65" s="690" customFormat="1" ht="22.95" customHeight="1" x14ac:dyDescent="0.25">
      <c r="B186" s="689"/>
      <c r="D186" s="691" t="s">
        <v>291</v>
      </c>
      <c r="E186" s="700" t="s">
        <v>103</v>
      </c>
      <c r="F186" s="700" t="s">
        <v>947</v>
      </c>
      <c r="J186" s="701">
        <f>BK186</f>
        <v>0</v>
      </c>
      <c r="K186" s="694"/>
      <c r="L186" s="689"/>
      <c r="M186" s="695"/>
      <c r="P186" s="696">
        <f>SUM(P187:P248)</f>
        <v>270.31557600000008</v>
      </c>
      <c r="R186" s="696">
        <f>SUM(R187:R248)</f>
        <v>70.307465019999995</v>
      </c>
      <c r="T186" s="697">
        <f>SUM(T187:T248)</f>
        <v>0</v>
      </c>
      <c r="AR186" s="691" t="s">
        <v>99</v>
      </c>
      <c r="AT186" s="698" t="s">
        <v>291</v>
      </c>
      <c r="AU186" s="698" t="s">
        <v>99</v>
      </c>
      <c r="AY186" s="691" t="s">
        <v>863</v>
      </c>
      <c r="BK186" s="699">
        <f>SUM(BK187:BK248)</f>
        <v>0</v>
      </c>
    </row>
    <row r="187" spans="2:65" s="163" customFormat="1" ht="24.15" customHeight="1" x14ac:dyDescent="0.25">
      <c r="B187" s="702"/>
      <c r="C187" s="703" t="s">
        <v>948</v>
      </c>
      <c r="D187" s="703" t="s">
        <v>864</v>
      </c>
      <c r="E187" s="704" t="s">
        <v>949</v>
      </c>
      <c r="F187" s="705" t="s">
        <v>950</v>
      </c>
      <c r="G187" s="706" t="s">
        <v>2</v>
      </c>
      <c r="H187" s="707">
        <v>12.731999999999999</v>
      </c>
      <c r="I187" s="708"/>
      <c r="J187" s="708">
        <f>ROUND(I187*H187,2)</f>
        <v>0</v>
      </c>
      <c r="K187" s="705" t="s">
        <v>2622</v>
      </c>
      <c r="L187" s="164"/>
      <c r="M187" s="709" t="s">
        <v>725</v>
      </c>
      <c r="N187" s="710" t="s">
        <v>813</v>
      </c>
      <c r="O187" s="711">
        <v>2.5129999999999999</v>
      </c>
      <c r="P187" s="711">
        <f>O187*H187</f>
        <v>31.995515999999999</v>
      </c>
      <c r="Q187" s="711">
        <v>2.4533700000000001</v>
      </c>
      <c r="R187" s="711">
        <f>Q187*H187</f>
        <v>31.236306839999997</v>
      </c>
      <c r="S187" s="711">
        <v>0</v>
      </c>
      <c r="T187" s="712">
        <f>S187*H187</f>
        <v>0</v>
      </c>
      <c r="AR187" s="668" t="s">
        <v>103</v>
      </c>
      <c r="AT187" s="668" t="s">
        <v>864</v>
      </c>
      <c r="AU187" s="668" t="s">
        <v>101</v>
      </c>
      <c r="AY187" s="157" t="s">
        <v>863</v>
      </c>
      <c r="BE187" s="713">
        <f>IF(N187="základní",J187,0)</f>
        <v>0</v>
      </c>
      <c r="BF187" s="713">
        <f>IF(N187="snížená",J187,0)</f>
        <v>0</v>
      </c>
      <c r="BG187" s="713">
        <f>IF(N187="zákl. přenesená",J187,0)</f>
        <v>0</v>
      </c>
      <c r="BH187" s="713">
        <f>IF(N187="sníž. přenesená",J187,0)</f>
        <v>0</v>
      </c>
      <c r="BI187" s="713">
        <f>IF(N187="nulová",J187,0)</f>
        <v>0</v>
      </c>
      <c r="BJ187" s="157" t="s">
        <v>99</v>
      </c>
      <c r="BK187" s="713">
        <f>ROUND(I187*H187,2)</f>
        <v>0</v>
      </c>
      <c r="BL187" s="157" t="s">
        <v>103</v>
      </c>
      <c r="BM187" s="668" t="s">
        <v>951</v>
      </c>
    </row>
    <row r="188" spans="2:65" s="715" customFormat="1" ht="11.4" x14ac:dyDescent="0.25">
      <c r="B188" s="714"/>
      <c r="D188" s="716" t="s">
        <v>868</v>
      </c>
      <c r="E188" s="717" t="s">
        <v>725</v>
      </c>
      <c r="F188" s="718" t="s">
        <v>886</v>
      </c>
      <c r="H188" s="717" t="s">
        <v>725</v>
      </c>
      <c r="K188" s="719"/>
      <c r="L188" s="714"/>
      <c r="M188" s="720"/>
      <c r="T188" s="721"/>
      <c r="AT188" s="717" t="s">
        <v>868</v>
      </c>
      <c r="AU188" s="717" t="s">
        <v>101</v>
      </c>
      <c r="AV188" s="715" t="s">
        <v>99</v>
      </c>
      <c r="AW188" s="715" t="s">
        <v>870</v>
      </c>
      <c r="AX188" s="715" t="s">
        <v>301</v>
      </c>
      <c r="AY188" s="717" t="s">
        <v>863</v>
      </c>
    </row>
    <row r="189" spans="2:65" s="715" customFormat="1" ht="11.4" x14ac:dyDescent="0.25">
      <c r="B189" s="714"/>
      <c r="D189" s="716" t="s">
        <v>868</v>
      </c>
      <c r="E189" s="717" t="s">
        <v>725</v>
      </c>
      <c r="F189" s="718" t="s">
        <v>922</v>
      </c>
      <c r="H189" s="717" t="s">
        <v>725</v>
      </c>
      <c r="K189" s="719"/>
      <c r="L189" s="714"/>
      <c r="M189" s="720"/>
      <c r="T189" s="721"/>
      <c r="AT189" s="717" t="s">
        <v>868</v>
      </c>
      <c r="AU189" s="717" t="s">
        <v>101</v>
      </c>
      <c r="AV189" s="715" t="s">
        <v>99</v>
      </c>
      <c r="AW189" s="715" t="s">
        <v>870</v>
      </c>
      <c r="AX189" s="715" t="s">
        <v>301</v>
      </c>
      <c r="AY189" s="717" t="s">
        <v>863</v>
      </c>
    </row>
    <row r="190" spans="2:65" s="715" customFormat="1" ht="11.4" x14ac:dyDescent="0.25">
      <c r="B190" s="714"/>
      <c r="D190" s="716" t="s">
        <v>868</v>
      </c>
      <c r="E190" s="717" t="s">
        <v>725</v>
      </c>
      <c r="F190" s="718" t="s">
        <v>952</v>
      </c>
      <c r="H190" s="717" t="s">
        <v>725</v>
      </c>
      <c r="K190" s="719"/>
      <c r="L190" s="714"/>
      <c r="M190" s="720"/>
      <c r="T190" s="721"/>
      <c r="AT190" s="717" t="s">
        <v>868</v>
      </c>
      <c r="AU190" s="717" t="s">
        <v>101</v>
      </c>
      <c r="AV190" s="715" t="s">
        <v>99</v>
      </c>
      <c r="AW190" s="715" t="s">
        <v>870</v>
      </c>
      <c r="AX190" s="715" t="s">
        <v>301</v>
      </c>
      <c r="AY190" s="717" t="s">
        <v>863</v>
      </c>
    </row>
    <row r="191" spans="2:65" s="723" customFormat="1" ht="11.4" x14ac:dyDescent="0.25">
      <c r="B191" s="722"/>
      <c r="D191" s="716" t="s">
        <v>868</v>
      </c>
      <c r="E191" s="724" t="s">
        <v>725</v>
      </c>
      <c r="F191" s="725" t="s">
        <v>953</v>
      </c>
      <c r="H191" s="726">
        <v>0.32400000000000001</v>
      </c>
      <c r="K191" s="727"/>
      <c r="L191" s="722"/>
      <c r="M191" s="728"/>
      <c r="T191" s="729"/>
      <c r="AT191" s="724" t="s">
        <v>868</v>
      </c>
      <c r="AU191" s="724" t="s">
        <v>101</v>
      </c>
      <c r="AV191" s="723" t="s">
        <v>101</v>
      </c>
      <c r="AW191" s="723" t="s">
        <v>870</v>
      </c>
      <c r="AX191" s="723" t="s">
        <v>301</v>
      </c>
      <c r="AY191" s="724" t="s">
        <v>863</v>
      </c>
    </row>
    <row r="192" spans="2:65" s="723" customFormat="1" ht="11.4" x14ac:dyDescent="0.25">
      <c r="B192" s="722"/>
      <c r="D192" s="716" t="s">
        <v>868</v>
      </c>
      <c r="E192" s="724" t="s">
        <v>725</v>
      </c>
      <c r="F192" s="725" t="s">
        <v>954</v>
      </c>
      <c r="H192" s="726">
        <v>1.181</v>
      </c>
      <c r="K192" s="727"/>
      <c r="L192" s="722"/>
      <c r="M192" s="728"/>
      <c r="T192" s="729"/>
      <c r="AT192" s="724" t="s">
        <v>868</v>
      </c>
      <c r="AU192" s="724" t="s">
        <v>101</v>
      </c>
      <c r="AV192" s="723" t="s">
        <v>101</v>
      </c>
      <c r="AW192" s="723" t="s">
        <v>870</v>
      </c>
      <c r="AX192" s="723" t="s">
        <v>301</v>
      </c>
      <c r="AY192" s="724" t="s">
        <v>863</v>
      </c>
    </row>
    <row r="193" spans="2:51" s="723" customFormat="1" ht="11.4" x14ac:dyDescent="0.25">
      <c r="B193" s="722"/>
      <c r="D193" s="716" t="s">
        <v>868</v>
      </c>
      <c r="E193" s="724" t="s">
        <v>725</v>
      </c>
      <c r="F193" s="725" t="s">
        <v>955</v>
      </c>
      <c r="H193" s="726">
        <v>0.84399999999999997</v>
      </c>
      <c r="K193" s="727"/>
      <c r="L193" s="722"/>
      <c r="M193" s="728"/>
      <c r="T193" s="729"/>
      <c r="AT193" s="724" t="s">
        <v>868</v>
      </c>
      <c r="AU193" s="724" t="s">
        <v>101</v>
      </c>
      <c r="AV193" s="723" t="s">
        <v>101</v>
      </c>
      <c r="AW193" s="723" t="s">
        <v>870</v>
      </c>
      <c r="AX193" s="723" t="s">
        <v>301</v>
      </c>
      <c r="AY193" s="724" t="s">
        <v>863</v>
      </c>
    </row>
    <row r="194" spans="2:51" s="748" customFormat="1" ht="11.4" x14ac:dyDescent="0.25">
      <c r="B194" s="747"/>
      <c r="D194" s="716" t="s">
        <v>868</v>
      </c>
      <c r="E194" s="749" t="s">
        <v>725</v>
      </c>
      <c r="F194" s="750" t="s">
        <v>956</v>
      </c>
      <c r="H194" s="751">
        <v>2.3490000000000002</v>
      </c>
      <c r="K194" s="752"/>
      <c r="L194" s="747"/>
      <c r="M194" s="753"/>
      <c r="T194" s="754"/>
      <c r="AT194" s="749" t="s">
        <v>868</v>
      </c>
      <c r="AU194" s="749" t="s">
        <v>101</v>
      </c>
      <c r="AV194" s="748" t="s">
        <v>102</v>
      </c>
      <c r="AW194" s="748" t="s">
        <v>870</v>
      </c>
      <c r="AX194" s="748" t="s">
        <v>301</v>
      </c>
      <c r="AY194" s="749" t="s">
        <v>863</v>
      </c>
    </row>
    <row r="195" spans="2:51" s="715" customFormat="1" ht="11.4" x14ac:dyDescent="0.25">
      <c r="B195" s="714"/>
      <c r="D195" s="716" t="s">
        <v>868</v>
      </c>
      <c r="E195" s="717" t="s">
        <v>725</v>
      </c>
      <c r="F195" s="718" t="s">
        <v>957</v>
      </c>
      <c r="H195" s="717" t="s">
        <v>725</v>
      </c>
      <c r="K195" s="719"/>
      <c r="L195" s="714"/>
      <c r="M195" s="720"/>
      <c r="T195" s="721"/>
      <c r="AT195" s="717" t="s">
        <v>868</v>
      </c>
      <c r="AU195" s="717" t="s">
        <v>101</v>
      </c>
      <c r="AV195" s="715" t="s">
        <v>99</v>
      </c>
      <c r="AW195" s="715" t="s">
        <v>870</v>
      </c>
      <c r="AX195" s="715" t="s">
        <v>301</v>
      </c>
      <c r="AY195" s="717" t="s">
        <v>863</v>
      </c>
    </row>
    <row r="196" spans="2:51" s="715" customFormat="1" ht="11.4" x14ac:dyDescent="0.25">
      <c r="B196" s="714"/>
      <c r="D196" s="716" t="s">
        <v>868</v>
      </c>
      <c r="E196" s="717" t="s">
        <v>725</v>
      </c>
      <c r="F196" s="718" t="s">
        <v>952</v>
      </c>
      <c r="H196" s="717" t="s">
        <v>725</v>
      </c>
      <c r="K196" s="719"/>
      <c r="L196" s="714"/>
      <c r="M196" s="720"/>
      <c r="T196" s="721"/>
      <c r="AT196" s="717" t="s">
        <v>868</v>
      </c>
      <c r="AU196" s="717" t="s">
        <v>101</v>
      </c>
      <c r="AV196" s="715" t="s">
        <v>99</v>
      </c>
      <c r="AW196" s="715" t="s">
        <v>870</v>
      </c>
      <c r="AX196" s="715" t="s">
        <v>301</v>
      </c>
      <c r="AY196" s="717" t="s">
        <v>863</v>
      </c>
    </row>
    <row r="197" spans="2:51" s="723" customFormat="1" ht="11.4" x14ac:dyDescent="0.25">
      <c r="B197" s="722"/>
      <c r="D197" s="716" t="s">
        <v>868</v>
      </c>
      <c r="E197" s="724" t="s">
        <v>725</v>
      </c>
      <c r="F197" s="725" t="s">
        <v>958</v>
      </c>
      <c r="H197" s="726">
        <v>0.11600000000000001</v>
      </c>
      <c r="K197" s="727"/>
      <c r="L197" s="722"/>
      <c r="M197" s="728"/>
      <c r="T197" s="729"/>
      <c r="AT197" s="724" t="s">
        <v>868</v>
      </c>
      <c r="AU197" s="724" t="s">
        <v>101</v>
      </c>
      <c r="AV197" s="723" t="s">
        <v>101</v>
      </c>
      <c r="AW197" s="723" t="s">
        <v>870</v>
      </c>
      <c r="AX197" s="723" t="s">
        <v>301</v>
      </c>
      <c r="AY197" s="724" t="s">
        <v>863</v>
      </c>
    </row>
    <row r="198" spans="2:51" s="723" customFormat="1" ht="11.4" x14ac:dyDescent="0.25">
      <c r="B198" s="722"/>
      <c r="D198" s="716" t="s">
        <v>868</v>
      </c>
      <c r="E198" s="724" t="s">
        <v>725</v>
      </c>
      <c r="F198" s="725" t="s">
        <v>959</v>
      </c>
      <c r="H198" s="726">
        <v>2.714</v>
      </c>
      <c r="K198" s="727"/>
      <c r="L198" s="722"/>
      <c r="M198" s="728"/>
      <c r="T198" s="729"/>
      <c r="AT198" s="724" t="s">
        <v>868</v>
      </c>
      <c r="AU198" s="724" t="s">
        <v>101</v>
      </c>
      <c r="AV198" s="723" t="s">
        <v>101</v>
      </c>
      <c r="AW198" s="723" t="s">
        <v>870</v>
      </c>
      <c r="AX198" s="723" t="s">
        <v>301</v>
      </c>
      <c r="AY198" s="724" t="s">
        <v>863</v>
      </c>
    </row>
    <row r="199" spans="2:51" s="723" customFormat="1" ht="11.4" x14ac:dyDescent="0.25">
      <c r="B199" s="722"/>
      <c r="D199" s="716" t="s">
        <v>868</v>
      </c>
      <c r="E199" s="724" t="s">
        <v>725</v>
      </c>
      <c r="F199" s="725" t="s">
        <v>960</v>
      </c>
      <c r="H199" s="726">
        <v>4.0510000000000002</v>
      </c>
      <c r="K199" s="727"/>
      <c r="L199" s="722"/>
      <c r="M199" s="728"/>
      <c r="T199" s="729"/>
      <c r="AT199" s="724" t="s">
        <v>868</v>
      </c>
      <c r="AU199" s="724" t="s">
        <v>101</v>
      </c>
      <c r="AV199" s="723" t="s">
        <v>101</v>
      </c>
      <c r="AW199" s="723" t="s">
        <v>870</v>
      </c>
      <c r="AX199" s="723" t="s">
        <v>301</v>
      </c>
      <c r="AY199" s="724" t="s">
        <v>863</v>
      </c>
    </row>
    <row r="200" spans="2:51" s="748" customFormat="1" ht="11.4" x14ac:dyDescent="0.25">
      <c r="B200" s="747"/>
      <c r="D200" s="716" t="s">
        <v>868</v>
      </c>
      <c r="E200" s="749" t="s">
        <v>725</v>
      </c>
      <c r="F200" s="750" t="s">
        <v>961</v>
      </c>
      <c r="H200" s="751">
        <v>6.8810000000000002</v>
      </c>
      <c r="K200" s="752"/>
      <c r="L200" s="747"/>
      <c r="M200" s="753"/>
      <c r="T200" s="754"/>
      <c r="AT200" s="749" t="s">
        <v>868</v>
      </c>
      <c r="AU200" s="749" t="s">
        <v>101</v>
      </c>
      <c r="AV200" s="748" t="s">
        <v>102</v>
      </c>
      <c r="AW200" s="748" t="s">
        <v>870</v>
      </c>
      <c r="AX200" s="748" t="s">
        <v>301</v>
      </c>
      <c r="AY200" s="749" t="s">
        <v>863</v>
      </c>
    </row>
    <row r="201" spans="2:51" s="715" customFormat="1" ht="11.4" x14ac:dyDescent="0.25">
      <c r="B201" s="714"/>
      <c r="D201" s="716" t="s">
        <v>868</v>
      </c>
      <c r="E201" s="717" t="s">
        <v>725</v>
      </c>
      <c r="F201" s="718" t="s">
        <v>925</v>
      </c>
      <c r="H201" s="717" t="s">
        <v>725</v>
      </c>
      <c r="K201" s="719"/>
      <c r="L201" s="714"/>
      <c r="M201" s="720"/>
      <c r="T201" s="721"/>
      <c r="AT201" s="717" t="s">
        <v>868</v>
      </c>
      <c r="AU201" s="717" t="s">
        <v>101</v>
      </c>
      <c r="AV201" s="715" t="s">
        <v>99</v>
      </c>
      <c r="AW201" s="715" t="s">
        <v>870</v>
      </c>
      <c r="AX201" s="715" t="s">
        <v>301</v>
      </c>
      <c r="AY201" s="717" t="s">
        <v>863</v>
      </c>
    </row>
    <row r="202" spans="2:51" s="715" customFormat="1" ht="11.4" x14ac:dyDescent="0.25">
      <c r="B202" s="714"/>
      <c r="D202" s="716" t="s">
        <v>868</v>
      </c>
      <c r="E202" s="717" t="s">
        <v>725</v>
      </c>
      <c r="F202" s="718" t="s">
        <v>952</v>
      </c>
      <c r="H202" s="717" t="s">
        <v>725</v>
      </c>
      <c r="K202" s="719"/>
      <c r="L202" s="714"/>
      <c r="M202" s="720"/>
      <c r="T202" s="721"/>
      <c r="AT202" s="717" t="s">
        <v>868</v>
      </c>
      <c r="AU202" s="717" t="s">
        <v>101</v>
      </c>
      <c r="AV202" s="715" t="s">
        <v>99</v>
      </c>
      <c r="AW202" s="715" t="s">
        <v>870</v>
      </c>
      <c r="AX202" s="715" t="s">
        <v>301</v>
      </c>
      <c r="AY202" s="717" t="s">
        <v>863</v>
      </c>
    </row>
    <row r="203" spans="2:51" s="723" customFormat="1" ht="11.4" x14ac:dyDescent="0.25">
      <c r="B203" s="722"/>
      <c r="D203" s="716" t="s">
        <v>868</v>
      </c>
      <c r="E203" s="724" t="s">
        <v>725</v>
      </c>
      <c r="F203" s="725" t="s">
        <v>962</v>
      </c>
      <c r="H203" s="726">
        <v>0.49199999999999999</v>
      </c>
      <c r="K203" s="727"/>
      <c r="L203" s="722"/>
      <c r="M203" s="728"/>
      <c r="T203" s="729"/>
      <c r="AT203" s="724" t="s">
        <v>868</v>
      </c>
      <c r="AU203" s="724" t="s">
        <v>101</v>
      </c>
      <c r="AV203" s="723" t="s">
        <v>101</v>
      </c>
      <c r="AW203" s="723" t="s">
        <v>870</v>
      </c>
      <c r="AX203" s="723" t="s">
        <v>301</v>
      </c>
      <c r="AY203" s="724" t="s">
        <v>863</v>
      </c>
    </row>
    <row r="204" spans="2:51" s="723" customFormat="1" ht="11.4" x14ac:dyDescent="0.25">
      <c r="B204" s="722"/>
      <c r="D204" s="716" t="s">
        <v>868</v>
      </c>
      <c r="E204" s="724" t="s">
        <v>725</v>
      </c>
      <c r="F204" s="725" t="s">
        <v>963</v>
      </c>
      <c r="H204" s="726">
        <v>0.77</v>
      </c>
      <c r="K204" s="727"/>
      <c r="L204" s="722"/>
      <c r="M204" s="728"/>
      <c r="T204" s="729"/>
      <c r="AT204" s="724" t="s">
        <v>868</v>
      </c>
      <c r="AU204" s="724" t="s">
        <v>101</v>
      </c>
      <c r="AV204" s="723" t="s">
        <v>101</v>
      </c>
      <c r="AW204" s="723" t="s">
        <v>870</v>
      </c>
      <c r="AX204" s="723" t="s">
        <v>301</v>
      </c>
      <c r="AY204" s="724" t="s">
        <v>863</v>
      </c>
    </row>
    <row r="205" spans="2:51" s="723" customFormat="1" ht="11.4" x14ac:dyDescent="0.25">
      <c r="B205" s="722"/>
      <c r="D205" s="716" t="s">
        <v>868</v>
      </c>
      <c r="E205" s="724" t="s">
        <v>725</v>
      </c>
      <c r="F205" s="725" t="s">
        <v>964</v>
      </c>
      <c r="H205" s="726">
        <v>1.6339999999999999</v>
      </c>
      <c r="K205" s="727"/>
      <c r="L205" s="722"/>
      <c r="M205" s="728"/>
      <c r="T205" s="729"/>
      <c r="AT205" s="724" t="s">
        <v>868</v>
      </c>
      <c r="AU205" s="724" t="s">
        <v>101</v>
      </c>
      <c r="AV205" s="723" t="s">
        <v>101</v>
      </c>
      <c r="AW205" s="723" t="s">
        <v>870</v>
      </c>
      <c r="AX205" s="723" t="s">
        <v>301</v>
      </c>
      <c r="AY205" s="724" t="s">
        <v>863</v>
      </c>
    </row>
    <row r="206" spans="2:51" s="748" customFormat="1" ht="11.4" x14ac:dyDescent="0.25">
      <c r="B206" s="747"/>
      <c r="D206" s="716" t="s">
        <v>868</v>
      </c>
      <c r="E206" s="749" t="s">
        <v>725</v>
      </c>
      <c r="F206" s="750" t="s">
        <v>965</v>
      </c>
      <c r="H206" s="751">
        <v>2.8959999999999999</v>
      </c>
      <c r="K206" s="752"/>
      <c r="L206" s="747"/>
      <c r="M206" s="753"/>
      <c r="T206" s="754"/>
      <c r="AT206" s="749" t="s">
        <v>868</v>
      </c>
      <c r="AU206" s="749" t="s">
        <v>101</v>
      </c>
      <c r="AV206" s="748" t="s">
        <v>102</v>
      </c>
      <c r="AW206" s="748" t="s">
        <v>870</v>
      </c>
      <c r="AX206" s="748" t="s">
        <v>301</v>
      </c>
      <c r="AY206" s="749" t="s">
        <v>863</v>
      </c>
    </row>
    <row r="207" spans="2:51" s="723" customFormat="1" ht="11.4" x14ac:dyDescent="0.25">
      <c r="B207" s="722"/>
      <c r="D207" s="716" t="s">
        <v>868</v>
      </c>
      <c r="E207" s="724" t="s">
        <v>725</v>
      </c>
      <c r="F207" s="725" t="s">
        <v>966</v>
      </c>
      <c r="H207" s="726">
        <v>0.60599999999999998</v>
      </c>
      <c r="K207" s="727"/>
      <c r="L207" s="722"/>
      <c r="M207" s="728"/>
      <c r="T207" s="729"/>
      <c r="AT207" s="724" t="s">
        <v>868</v>
      </c>
      <c r="AU207" s="724" t="s">
        <v>101</v>
      </c>
      <c r="AV207" s="723" t="s">
        <v>101</v>
      </c>
      <c r="AW207" s="723" t="s">
        <v>870</v>
      </c>
      <c r="AX207" s="723" t="s">
        <v>301</v>
      </c>
      <c r="AY207" s="724" t="s">
        <v>863</v>
      </c>
    </row>
    <row r="208" spans="2:51" s="731" customFormat="1" ht="11.4" x14ac:dyDescent="0.25">
      <c r="B208" s="730"/>
      <c r="D208" s="716" t="s">
        <v>868</v>
      </c>
      <c r="E208" s="732" t="s">
        <v>725</v>
      </c>
      <c r="F208" s="733" t="s">
        <v>873</v>
      </c>
      <c r="H208" s="734">
        <v>12.731999999999999</v>
      </c>
      <c r="K208" s="735"/>
      <c r="L208" s="730"/>
      <c r="M208" s="736"/>
      <c r="T208" s="737"/>
      <c r="AT208" s="732" t="s">
        <v>868</v>
      </c>
      <c r="AU208" s="732" t="s">
        <v>101</v>
      </c>
      <c r="AV208" s="731" t="s">
        <v>103</v>
      </c>
      <c r="AW208" s="731" t="s">
        <v>870</v>
      </c>
      <c r="AX208" s="731" t="s">
        <v>99</v>
      </c>
      <c r="AY208" s="732" t="s">
        <v>863</v>
      </c>
    </row>
    <row r="209" spans="2:65" s="163" customFormat="1" ht="30" customHeight="1" x14ac:dyDescent="0.25">
      <c r="B209" s="702"/>
      <c r="C209" s="703" t="s">
        <v>967</v>
      </c>
      <c r="D209" s="703" t="s">
        <v>864</v>
      </c>
      <c r="E209" s="704" t="s">
        <v>968</v>
      </c>
      <c r="F209" s="705" t="s">
        <v>969</v>
      </c>
      <c r="G209" s="706" t="s">
        <v>15</v>
      </c>
      <c r="H209" s="707">
        <v>8.6709999999999994</v>
      </c>
      <c r="I209" s="708"/>
      <c r="J209" s="708">
        <f>ROUND(I209*H209,2)</f>
        <v>0</v>
      </c>
      <c r="K209" s="705" t="s">
        <v>2622</v>
      </c>
      <c r="L209" s="164"/>
      <c r="M209" s="709" t="s">
        <v>725</v>
      </c>
      <c r="N209" s="710" t="s">
        <v>813</v>
      </c>
      <c r="O209" s="711">
        <v>1.3420000000000001</v>
      </c>
      <c r="P209" s="711">
        <f>O209*H209</f>
        <v>11.636481999999999</v>
      </c>
      <c r="Q209" s="711">
        <v>1.282E-2</v>
      </c>
      <c r="R209" s="711">
        <f>Q209*H209</f>
        <v>0.11116221999999999</v>
      </c>
      <c r="S209" s="711">
        <v>0</v>
      </c>
      <c r="T209" s="712">
        <f>S209*H209</f>
        <v>0</v>
      </c>
      <c r="AR209" s="668" t="s">
        <v>103</v>
      </c>
      <c r="AT209" s="668" t="s">
        <v>864</v>
      </c>
      <c r="AU209" s="668" t="s">
        <v>101</v>
      </c>
      <c r="AY209" s="157" t="s">
        <v>863</v>
      </c>
      <c r="BE209" s="713">
        <f>IF(N209="základní",J209,0)</f>
        <v>0</v>
      </c>
      <c r="BF209" s="713">
        <f>IF(N209="snížená",J209,0)</f>
        <v>0</v>
      </c>
      <c r="BG209" s="713">
        <f>IF(N209="zákl. přenesená",J209,0)</f>
        <v>0</v>
      </c>
      <c r="BH209" s="713">
        <f>IF(N209="sníž. přenesená",J209,0)</f>
        <v>0</v>
      </c>
      <c r="BI209" s="713">
        <f>IF(N209="nulová",J209,0)</f>
        <v>0</v>
      </c>
      <c r="BJ209" s="157" t="s">
        <v>99</v>
      </c>
      <c r="BK209" s="713">
        <f>ROUND(I209*H209,2)</f>
        <v>0</v>
      </c>
      <c r="BL209" s="157" t="s">
        <v>103</v>
      </c>
      <c r="BM209" s="668" t="s">
        <v>970</v>
      </c>
    </row>
    <row r="210" spans="2:65" s="715" customFormat="1" ht="11.4" x14ac:dyDescent="0.25">
      <c r="B210" s="714"/>
      <c r="D210" s="716" t="s">
        <v>868</v>
      </c>
      <c r="E210" s="717" t="s">
        <v>725</v>
      </c>
      <c r="F210" s="718" t="s">
        <v>886</v>
      </c>
      <c r="H210" s="717" t="s">
        <v>725</v>
      </c>
      <c r="K210" s="719"/>
      <c r="L210" s="714"/>
      <c r="M210" s="720"/>
      <c r="T210" s="721"/>
      <c r="AT210" s="717" t="s">
        <v>868</v>
      </c>
      <c r="AU210" s="717" t="s">
        <v>101</v>
      </c>
      <c r="AV210" s="715" t="s">
        <v>99</v>
      </c>
      <c r="AW210" s="715" t="s">
        <v>870</v>
      </c>
      <c r="AX210" s="715" t="s">
        <v>301</v>
      </c>
      <c r="AY210" s="717" t="s">
        <v>863</v>
      </c>
    </row>
    <row r="211" spans="2:65" s="715" customFormat="1" ht="11.4" x14ac:dyDescent="0.25">
      <c r="B211" s="714"/>
      <c r="D211" s="716" t="s">
        <v>868</v>
      </c>
      <c r="E211" s="717" t="s">
        <v>725</v>
      </c>
      <c r="F211" s="718" t="s">
        <v>922</v>
      </c>
      <c r="H211" s="717" t="s">
        <v>725</v>
      </c>
      <c r="K211" s="719"/>
      <c r="L211" s="714"/>
      <c r="M211" s="720"/>
      <c r="T211" s="721"/>
      <c r="AT211" s="717" t="s">
        <v>868</v>
      </c>
      <c r="AU211" s="717" t="s">
        <v>101</v>
      </c>
      <c r="AV211" s="715" t="s">
        <v>99</v>
      </c>
      <c r="AW211" s="715" t="s">
        <v>870</v>
      </c>
      <c r="AX211" s="715" t="s">
        <v>301</v>
      </c>
      <c r="AY211" s="717" t="s">
        <v>863</v>
      </c>
    </row>
    <row r="212" spans="2:65" s="723" customFormat="1" ht="11.4" x14ac:dyDescent="0.25">
      <c r="B212" s="722"/>
      <c r="D212" s="716" t="s">
        <v>868</v>
      </c>
      <c r="E212" s="724" t="s">
        <v>725</v>
      </c>
      <c r="F212" s="725" t="s">
        <v>971</v>
      </c>
      <c r="H212" s="726">
        <v>1.8</v>
      </c>
      <c r="K212" s="727"/>
      <c r="L212" s="722"/>
      <c r="M212" s="728"/>
      <c r="T212" s="729"/>
      <c r="AT212" s="724" t="s">
        <v>868</v>
      </c>
      <c r="AU212" s="724" t="s">
        <v>101</v>
      </c>
      <c r="AV212" s="723" t="s">
        <v>101</v>
      </c>
      <c r="AW212" s="723" t="s">
        <v>870</v>
      </c>
      <c r="AX212" s="723" t="s">
        <v>301</v>
      </c>
      <c r="AY212" s="724" t="s">
        <v>863</v>
      </c>
    </row>
    <row r="213" spans="2:65" s="748" customFormat="1" ht="11.4" x14ac:dyDescent="0.25">
      <c r="B213" s="747"/>
      <c r="D213" s="716" t="s">
        <v>868</v>
      </c>
      <c r="E213" s="749" t="s">
        <v>725</v>
      </c>
      <c r="F213" s="750" t="s">
        <v>956</v>
      </c>
      <c r="H213" s="751">
        <v>1.8</v>
      </c>
      <c r="K213" s="752"/>
      <c r="L213" s="747"/>
      <c r="M213" s="753"/>
      <c r="T213" s="754"/>
      <c r="AT213" s="749" t="s">
        <v>868</v>
      </c>
      <c r="AU213" s="749" t="s">
        <v>101</v>
      </c>
      <c r="AV213" s="748" t="s">
        <v>102</v>
      </c>
      <c r="AW213" s="748" t="s">
        <v>870</v>
      </c>
      <c r="AX213" s="748" t="s">
        <v>301</v>
      </c>
      <c r="AY213" s="749" t="s">
        <v>863</v>
      </c>
    </row>
    <row r="214" spans="2:65" s="715" customFormat="1" ht="11.4" x14ac:dyDescent="0.25">
      <c r="B214" s="714"/>
      <c r="D214" s="716" t="s">
        <v>868</v>
      </c>
      <c r="E214" s="717" t="s">
        <v>725</v>
      </c>
      <c r="F214" s="718" t="s">
        <v>957</v>
      </c>
      <c r="H214" s="717" t="s">
        <v>725</v>
      </c>
      <c r="K214" s="719"/>
      <c r="L214" s="714"/>
      <c r="M214" s="720"/>
      <c r="T214" s="721"/>
      <c r="AT214" s="717" t="s">
        <v>868</v>
      </c>
      <c r="AU214" s="717" t="s">
        <v>101</v>
      </c>
      <c r="AV214" s="715" t="s">
        <v>99</v>
      </c>
      <c r="AW214" s="715" t="s">
        <v>870</v>
      </c>
      <c r="AX214" s="715" t="s">
        <v>301</v>
      </c>
      <c r="AY214" s="717" t="s">
        <v>863</v>
      </c>
    </row>
    <row r="215" spans="2:65" s="723" customFormat="1" ht="11.4" x14ac:dyDescent="0.25">
      <c r="B215" s="722"/>
      <c r="D215" s="716" t="s">
        <v>868</v>
      </c>
      <c r="E215" s="724" t="s">
        <v>725</v>
      </c>
      <c r="F215" s="725" t="s">
        <v>972</v>
      </c>
      <c r="H215" s="726">
        <v>4.0019999999999998</v>
      </c>
      <c r="K215" s="727"/>
      <c r="L215" s="722"/>
      <c r="M215" s="728"/>
      <c r="T215" s="729"/>
      <c r="AT215" s="724" t="s">
        <v>868</v>
      </c>
      <c r="AU215" s="724" t="s">
        <v>101</v>
      </c>
      <c r="AV215" s="723" t="s">
        <v>101</v>
      </c>
      <c r="AW215" s="723" t="s">
        <v>870</v>
      </c>
      <c r="AX215" s="723" t="s">
        <v>301</v>
      </c>
      <c r="AY215" s="724" t="s">
        <v>863</v>
      </c>
    </row>
    <row r="216" spans="2:65" s="748" customFormat="1" ht="11.4" x14ac:dyDescent="0.25">
      <c r="B216" s="747"/>
      <c r="D216" s="716" t="s">
        <v>868</v>
      </c>
      <c r="E216" s="749" t="s">
        <v>725</v>
      </c>
      <c r="F216" s="750" t="s">
        <v>961</v>
      </c>
      <c r="H216" s="751">
        <v>4.0019999999999998</v>
      </c>
      <c r="K216" s="752"/>
      <c r="L216" s="747"/>
      <c r="M216" s="753"/>
      <c r="T216" s="754"/>
      <c r="AT216" s="749" t="s">
        <v>868</v>
      </c>
      <c r="AU216" s="749" t="s">
        <v>101</v>
      </c>
      <c r="AV216" s="748" t="s">
        <v>102</v>
      </c>
      <c r="AW216" s="748" t="s">
        <v>870</v>
      </c>
      <c r="AX216" s="748" t="s">
        <v>301</v>
      </c>
      <c r="AY216" s="749" t="s">
        <v>863</v>
      </c>
    </row>
    <row r="217" spans="2:65" s="715" customFormat="1" ht="11.4" x14ac:dyDescent="0.25">
      <c r="B217" s="714"/>
      <c r="D217" s="716" t="s">
        <v>868</v>
      </c>
      <c r="E217" s="717" t="s">
        <v>725</v>
      </c>
      <c r="F217" s="718" t="s">
        <v>925</v>
      </c>
      <c r="H217" s="717" t="s">
        <v>725</v>
      </c>
      <c r="K217" s="719"/>
      <c r="L217" s="714"/>
      <c r="M217" s="720"/>
      <c r="T217" s="721"/>
      <c r="AT217" s="717" t="s">
        <v>868</v>
      </c>
      <c r="AU217" s="717" t="s">
        <v>101</v>
      </c>
      <c r="AV217" s="715" t="s">
        <v>99</v>
      </c>
      <c r="AW217" s="715" t="s">
        <v>870</v>
      </c>
      <c r="AX217" s="715" t="s">
        <v>301</v>
      </c>
      <c r="AY217" s="717" t="s">
        <v>863</v>
      </c>
    </row>
    <row r="218" spans="2:65" s="723" customFormat="1" ht="11.4" x14ac:dyDescent="0.25">
      <c r="B218" s="722"/>
      <c r="D218" s="716" t="s">
        <v>868</v>
      </c>
      <c r="E218" s="724" t="s">
        <v>725</v>
      </c>
      <c r="F218" s="725" t="s">
        <v>973</v>
      </c>
      <c r="H218" s="726">
        <v>2.8690000000000002</v>
      </c>
      <c r="K218" s="727"/>
      <c r="L218" s="722"/>
      <c r="M218" s="728"/>
      <c r="T218" s="729"/>
      <c r="AT218" s="724" t="s">
        <v>868</v>
      </c>
      <c r="AU218" s="724" t="s">
        <v>101</v>
      </c>
      <c r="AV218" s="723" t="s">
        <v>101</v>
      </c>
      <c r="AW218" s="723" t="s">
        <v>870</v>
      </c>
      <c r="AX218" s="723" t="s">
        <v>301</v>
      </c>
      <c r="AY218" s="724" t="s">
        <v>863</v>
      </c>
    </row>
    <row r="219" spans="2:65" s="748" customFormat="1" ht="11.4" x14ac:dyDescent="0.25">
      <c r="B219" s="747"/>
      <c r="D219" s="716" t="s">
        <v>868</v>
      </c>
      <c r="E219" s="749" t="s">
        <v>725</v>
      </c>
      <c r="F219" s="750" t="s">
        <v>965</v>
      </c>
      <c r="H219" s="751">
        <v>2.8690000000000002</v>
      </c>
      <c r="K219" s="752"/>
      <c r="L219" s="747"/>
      <c r="M219" s="753"/>
      <c r="T219" s="754"/>
      <c r="AT219" s="749" t="s">
        <v>868</v>
      </c>
      <c r="AU219" s="749" t="s">
        <v>101</v>
      </c>
      <c r="AV219" s="748" t="s">
        <v>102</v>
      </c>
      <c r="AW219" s="748" t="s">
        <v>870</v>
      </c>
      <c r="AX219" s="748" t="s">
        <v>301</v>
      </c>
      <c r="AY219" s="749" t="s">
        <v>863</v>
      </c>
    </row>
    <row r="220" spans="2:65" s="731" customFormat="1" ht="11.4" x14ac:dyDescent="0.25">
      <c r="B220" s="730"/>
      <c r="D220" s="716" t="s">
        <v>868</v>
      </c>
      <c r="E220" s="732" t="s">
        <v>725</v>
      </c>
      <c r="F220" s="733" t="s">
        <v>873</v>
      </c>
      <c r="H220" s="734">
        <v>8.6709999999999994</v>
      </c>
      <c r="K220" s="735"/>
      <c r="L220" s="730"/>
      <c r="M220" s="736"/>
      <c r="T220" s="737"/>
      <c r="AT220" s="732" t="s">
        <v>868</v>
      </c>
      <c r="AU220" s="732" t="s">
        <v>101</v>
      </c>
      <c r="AV220" s="731" t="s">
        <v>103</v>
      </c>
      <c r="AW220" s="731" t="s">
        <v>870</v>
      </c>
      <c r="AX220" s="731" t="s">
        <v>99</v>
      </c>
      <c r="AY220" s="732" t="s">
        <v>863</v>
      </c>
    </row>
    <row r="221" spans="2:65" s="163" customFormat="1" ht="27.6" customHeight="1" x14ac:dyDescent="0.25">
      <c r="B221" s="702"/>
      <c r="C221" s="703" t="s">
        <v>974</v>
      </c>
      <c r="D221" s="703" t="s">
        <v>864</v>
      </c>
      <c r="E221" s="704" t="s">
        <v>975</v>
      </c>
      <c r="F221" s="705" t="s">
        <v>976</v>
      </c>
      <c r="G221" s="706" t="s">
        <v>15</v>
      </c>
      <c r="H221" s="707">
        <v>8.6709999999999994</v>
      </c>
      <c r="I221" s="708"/>
      <c r="J221" s="708">
        <f>ROUND(I221*H221,2)</f>
        <v>0</v>
      </c>
      <c r="K221" s="705" t="s">
        <v>2622</v>
      </c>
      <c r="L221" s="164"/>
      <c r="M221" s="709" t="s">
        <v>725</v>
      </c>
      <c r="N221" s="710" t="s">
        <v>813</v>
      </c>
      <c r="O221" s="711">
        <v>0.33800000000000002</v>
      </c>
      <c r="P221" s="711">
        <f>O221*H221</f>
        <v>2.9307979999999998</v>
      </c>
      <c r="Q221" s="711">
        <v>0</v>
      </c>
      <c r="R221" s="711">
        <f>Q221*H221</f>
        <v>0</v>
      </c>
      <c r="S221" s="711">
        <v>0</v>
      </c>
      <c r="T221" s="712">
        <f>S221*H221</f>
        <v>0</v>
      </c>
      <c r="AR221" s="668" t="s">
        <v>103</v>
      </c>
      <c r="AT221" s="668" t="s">
        <v>864</v>
      </c>
      <c r="AU221" s="668" t="s">
        <v>101</v>
      </c>
      <c r="AY221" s="157" t="s">
        <v>863</v>
      </c>
      <c r="BE221" s="713">
        <f>IF(N221="základní",J221,0)</f>
        <v>0</v>
      </c>
      <c r="BF221" s="713">
        <f>IF(N221="snížená",J221,0)</f>
        <v>0</v>
      </c>
      <c r="BG221" s="713">
        <f>IF(N221="zákl. přenesená",J221,0)</f>
        <v>0</v>
      </c>
      <c r="BH221" s="713">
        <f>IF(N221="sníž. přenesená",J221,0)</f>
        <v>0</v>
      </c>
      <c r="BI221" s="713">
        <f>IF(N221="nulová",J221,0)</f>
        <v>0</v>
      </c>
      <c r="BJ221" s="157" t="s">
        <v>99</v>
      </c>
      <c r="BK221" s="713">
        <f>ROUND(I221*H221,2)</f>
        <v>0</v>
      </c>
      <c r="BL221" s="157" t="s">
        <v>103</v>
      </c>
      <c r="BM221" s="668" t="s">
        <v>977</v>
      </c>
    </row>
    <row r="222" spans="2:65" s="715" customFormat="1" ht="11.4" x14ac:dyDescent="0.25">
      <c r="B222" s="714"/>
      <c r="D222" s="716" t="s">
        <v>868</v>
      </c>
      <c r="E222" s="717" t="s">
        <v>725</v>
      </c>
      <c r="F222" s="718" t="s">
        <v>978</v>
      </c>
      <c r="H222" s="717" t="s">
        <v>725</v>
      </c>
      <c r="K222" s="719"/>
      <c r="L222" s="714"/>
      <c r="M222" s="720"/>
      <c r="T222" s="721"/>
      <c r="AT222" s="717" t="s">
        <v>868</v>
      </c>
      <c r="AU222" s="717" t="s">
        <v>101</v>
      </c>
      <c r="AV222" s="715" t="s">
        <v>99</v>
      </c>
      <c r="AW222" s="715" t="s">
        <v>870</v>
      </c>
      <c r="AX222" s="715" t="s">
        <v>301</v>
      </c>
      <c r="AY222" s="717" t="s">
        <v>863</v>
      </c>
    </row>
    <row r="223" spans="2:65" s="723" customFormat="1" ht="11.4" x14ac:dyDescent="0.25">
      <c r="B223" s="722"/>
      <c r="D223" s="716" t="s">
        <v>868</v>
      </c>
      <c r="E223" s="724" t="s">
        <v>725</v>
      </c>
      <c r="F223" s="725" t="s">
        <v>979</v>
      </c>
      <c r="H223" s="726">
        <v>8.6709999999999994</v>
      </c>
      <c r="K223" s="727"/>
      <c r="L223" s="722"/>
      <c r="M223" s="728"/>
      <c r="T223" s="729"/>
      <c r="AT223" s="724" t="s">
        <v>868</v>
      </c>
      <c r="AU223" s="724" t="s">
        <v>101</v>
      </c>
      <c r="AV223" s="723" t="s">
        <v>101</v>
      </c>
      <c r="AW223" s="723" t="s">
        <v>870</v>
      </c>
      <c r="AX223" s="723" t="s">
        <v>99</v>
      </c>
      <c r="AY223" s="724" t="s">
        <v>863</v>
      </c>
    </row>
    <row r="224" spans="2:65" s="163" customFormat="1" ht="39.6" customHeight="1" x14ac:dyDescent="0.25">
      <c r="B224" s="702"/>
      <c r="C224" s="703" t="s">
        <v>980</v>
      </c>
      <c r="D224" s="703" t="s">
        <v>864</v>
      </c>
      <c r="E224" s="704" t="s">
        <v>981</v>
      </c>
      <c r="F224" s="705" t="s">
        <v>982</v>
      </c>
      <c r="G224" s="706" t="s">
        <v>140</v>
      </c>
      <c r="H224" s="707">
        <v>203.61</v>
      </c>
      <c r="I224" s="708"/>
      <c r="J224" s="708">
        <f>ROUND(I224*H224,2)</f>
        <v>0</v>
      </c>
      <c r="K224" s="705" t="s">
        <v>2622</v>
      </c>
      <c r="L224" s="164"/>
      <c r="M224" s="709" t="s">
        <v>725</v>
      </c>
      <c r="N224" s="710" t="s">
        <v>813</v>
      </c>
      <c r="O224" s="711">
        <v>1.0980000000000001</v>
      </c>
      <c r="P224" s="711">
        <f>O224*H224</f>
        <v>223.56378000000004</v>
      </c>
      <c r="Q224" s="711">
        <v>3.465E-2</v>
      </c>
      <c r="R224" s="711">
        <f>Q224*H224</f>
        <v>7.0550865000000007</v>
      </c>
      <c r="S224" s="711">
        <v>0</v>
      </c>
      <c r="T224" s="712">
        <f>S224*H224</f>
        <v>0</v>
      </c>
      <c r="AR224" s="668" t="s">
        <v>103</v>
      </c>
      <c r="AT224" s="668" t="s">
        <v>864</v>
      </c>
      <c r="AU224" s="668" t="s">
        <v>101</v>
      </c>
      <c r="AY224" s="157" t="s">
        <v>863</v>
      </c>
      <c r="BE224" s="713">
        <f>IF(N224="základní",J224,0)</f>
        <v>0</v>
      </c>
      <c r="BF224" s="713">
        <f>IF(N224="snížená",J224,0)</f>
        <v>0</v>
      </c>
      <c r="BG224" s="713">
        <f>IF(N224="zákl. přenesená",J224,0)</f>
        <v>0</v>
      </c>
      <c r="BH224" s="713">
        <f>IF(N224="sníž. přenesená",J224,0)</f>
        <v>0</v>
      </c>
      <c r="BI224" s="713">
        <f>IF(N224="nulová",J224,0)</f>
        <v>0</v>
      </c>
      <c r="BJ224" s="157" t="s">
        <v>99</v>
      </c>
      <c r="BK224" s="713">
        <f>ROUND(I224*H224,2)</f>
        <v>0</v>
      </c>
      <c r="BL224" s="157" t="s">
        <v>103</v>
      </c>
      <c r="BM224" s="668" t="s">
        <v>983</v>
      </c>
    </row>
    <row r="225" spans="2:65" s="715" customFormat="1" ht="11.4" x14ac:dyDescent="0.25">
      <c r="B225" s="714"/>
      <c r="D225" s="716" t="s">
        <v>868</v>
      </c>
      <c r="E225" s="717" t="s">
        <v>725</v>
      </c>
      <c r="F225" s="718" t="s">
        <v>886</v>
      </c>
      <c r="H225" s="717" t="s">
        <v>725</v>
      </c>
      <c r="K225" s="719"/>
      <c r="L225" s="714"/>
      <c r="M225" s="720"/>
      <c r="T225" s="721"/>
      <c r="AT225" s="717" t="s">
        <v>868</v>
      </c>
      <c r="AU225" s="717" t="s">
        <v>101</v>
      </c>
      <c r="AV225" s="715" t="s">
        <v>99</v>
      </c>
      <c r="AW225" s="715" t="s">
        <v>870</v>
      </c>
      <c r="AX225" s="715" t="s">
        <v>301</v>
      </c>
      <c r="AY225" s="717" t="s">
        <v>863</v>
      </c>
    </row>
    <row r="226" spans="2:65" s="715" customFormat="1" ht="11.4" x14ac:dyDescent="0.25">
      <c r="B226" s="714"/>
      <c r="D226" s="716" t="s">
        <v>868</v>
      </c>
      <c r="E226" s="717" t="s">
        <v>725</v>
      </c>
      <c r="F226" s="718" t="s">
        <v>922</v>
      </c>
      <c r="H226" s="717" t="s">
        <v>725</v>
      </c>
      <c r="K226" s="719"/>
      <c r="L226" s="714"/>
      <c r="M226" s="720"/>
      <c r="T226" s="721"/>
      <c r="AT226" s="717" t="s">
        <v>868</v>
      </c>
      <c r="AU226" s="717" t="s">
        <v>101</v>
      </c>
      <c r="AV226" s="715" t="s">
        <v>99</v>
      </c>
      <c r="AW226" s="715" t="s">
        <v>870</v>
      </c>
      <c r="AX226" s="715" t="s">
        <v>301</v>
      </c>
      <c r="AY226" s="717" t="s">
        <v>863</v>
      </c>
    </row>
    <row r="227" spans="2:65" s="723" customFormat="1" ht="11.4" x14ac:dyDescent="0.25">
      <c r="B227" s="722"/>
      <c r="D227" s="716" t="s">
        <v>868</v>
      </c>
      <c r="E227" s="724" t="s">
        <v>725</v>
      </c>
      <c r="F227" s="725" t="s">
        <v>984</v>
      </c>
      <c r="H227" s="726">
        <v>45</v>
      </c>
      <c r="K227" s="727"/>
      <c r="L227" s="722"/>
      <c r="M227" s="728"/>
      <c r="T227" s="729"/>
      <c r="AT227" s="724" t="s">
        <v>868</v>
      </c>
      <c r="AU227" s="724" t="s">
        <v>101</v>
      </c>
      <c r="AV227" s="723" t="s">
        <v>101</v>
      </c>
      <c r="AW227" s="723" t="s">
        <v>870</v>
      </c>
      <c r="AX227" s="723" t="s">
        <v>301</v>
      </c>
      <c r="AY227" s="724" t="s">
        <v>863</v>
      </c>
    </row>
    <row r="228" spans="2:65" s="723" customFormat="1" ht="11.4" x14ac:dyDescent="0.25">
      <c r="B228" s="722"/>
      <c r="D228" s="716" t="s">
        <v>868</v>
      </c>
      <c r="E228" s="724" t="s">
        <v>725</v>
      </c>
      <c r="F228" s="725" t="s">
        <v>985</v>
      </c>
      <c r="H228" s="726">
        <v>9</v>
      </c>
      <c r="K228" s="727"/>
      <c r="L228" s="722"/>
      <c r="M228" s="728"/>
      <c r="T228" s="729"/>
      <c r="AT228" s="724" t="s">
        <v>868</v>
      </c>
      <c r="AU228" s="724" t="s">
        <v>101</v>
      </c>
      <c r="AV228" s="723" t="s">
        <v>101</v>
      </c>
      <c r="AW228" s="723" t="s">
        <v>870</v>
      </c>
      <c r="AX228" s="723" t="s">
        <v>301</v>
      </c>
      <c r="AY228" s="724" t="s">
        <v>863</v>
      </c>
    </row>
    <row r="229" spans="2:65" s="748" customFormat="1" ht="11.4" x14ac:dyDescent="0.25">
      <c r="B229" s="747"/>
      <c r="D229" s="716" t="s">
        <v>868</v>
      </c>
      <c r="E229" s="749" t="s">
        <v>725</v>
      </c>
      <c r="F229" s="750" t="s">
        <v>956</v>
      </c>
      <c r="H229" s="751">
        <v>54</v>
      </c>
      <c r="K229" s="752"/>
      <c r="L229" s="747"/>
      <c r="M229" s="753"/>
      <c r="T229" s="754"/>
      <c r="AT229" s="749" t="s">
        <v>868</v>
      </c>
      <c r="AU229" s="749" t="s">
        <v>101</v>
      </c>
      <c r="AV229" s="748" t="s">
        <v>102</v>
      </c>
      <c r="AW229" s="748" t="s">
        <v>870</v>
      </c>
      <c r="AX229" s="748" t="s">
        <v>301</v>
      </c>
      <c r="AY229" s="749" t="s">
        <v>863</v>
      </c>
    </row>
    <row r="230" spans="2:65" s="715" customFormat="1" ht="11.4" x14ac:dyDescent="0.25">
      <c r="B230" s="714"/>
      <c r="D230" s="716" t="s">
        <v>868</v>
      </c>
      <c r="E230" s="717" t="s">
        <v>725</v>
      </c>
      <c r="F230" s="718" t="s">
        <v>957</v>
      </c>
      <c r="H230" s="717" t="s">
        <v>725</v>
      </c>
      <c r="K230" s="719"/>
      <c r="L230" s="714"/>
      <c r="M230" s="720"/>
      <c r="T230" s="721"/>
      <c r="AT230" s="717" t="s">
        <v>868</v>
      </c>
      <c r="AU230" s="717" t="s">
        <v>101</v>
      </c>
      <c r="AV230" s="715" t="s">
        <v>99</v>
      </c>
      <c r="AW230" s="715" t="s">
        <v>870</v>
      </c>
      <c r="AX230" s="715" t="s">
        <v>301</v>
      </c>
      <c r="AY230" s="717" t="s">
        <v>863</v>
      </c>
    </row>
    <row r="231" spans="2:65" s="723" customFormat="1" ht="11.4" x14ac:dyDescent="0.25">
      <c r="B231" s="722"/>
      <c r="D231" s="716" t="s">
        <v>868</v>
      </c>
      <c r="E231" s="724" t="s">
        <v>725</v>
      </c>
      <c r="F231" s="725" t="s">
        <v>986</v>
      </c>
      <c r="H231" s="726">
        <v>3.22</v>
      </c>
      <c r="K231" s="727"/>
      <c r="L231" s="722"/>
      <c r="M231" s="728"/>
      <c r="T231" s="729"/>
      <c r="AT231" s="724" t="s">
        <v>868</v>
      </c>
      <c r="AU231" s="724" t="s">
        <v>101</v>
      </c>
      <c r="AV231" s="723" t="s">
        <v>101</v>
      </c>
      <c r="AW231" s="723" t="s">
        <v>870</v>
      </c>
      <c r="AX231" s="723" t="s">
        <v>301</v>
      </c>
      <c r="AY231" s="724" t="s">
        <v>863</v>
      </c>
    </row>
    <row r="232" spans="2:65" s="723" customFormat="1" ht="11.4" x14ac:dyDescent="0.25">
      <c r="B232" s="722"/>
      <c r="D232" s="716" t="s">
        <v>868</v>
      </c>
      <c r="E232" s="724" t="s">
        <v>725</v>
      </c>
      <c r="F232" s="725" t="s">
        <v>987</v>
      </c>
      <c r="H232" s="726">
        <v>103.38</v>
      </c>
      <c r="K232" s="727"/>
      <c r="L232" s="722"/>
      <c r="M232" s="728"/>
      <c r="T232" s="729"/>
      <c r="AT232" s="724" t="s">
        <v>868</v>
      </c>
      <c r="AU232" s="724" t="s">
        <v>101</v>
      </c>
      <c r="AV232" s="723" t="s">
        <v>101</v>
      </c>
      <c r="AW232" s="723" t="s">
        <v>870</v>
      </c>
      <c r="AX232" s="723" t="s">
        <v>301</v>
      </c>
      <c r="AY232" s="724" t="s">
        <v>863</v>
      </c>
    </row>
    <row r="233" spans="2:65" s="748" customFormat="1" ht="11.4" x14ac:dyDescent="0.25">
      <c r="B233" s="747"/>
      <c r="D233" s="716" t="s">
        <v>868</v>
      </c>
      <c r="E233" s="749" t="s">
        <v>725</v>
      </c>
      <c r="F233" s="750" t="s">
        <v>961</v>
      </c>
      <c r="H233" s="751">
        <v>106.6</v>
      </c>
      <c r="K233" s="752"/>
      <c r="L233" s="747"/>
      <c r="M233" s="753"/>
      <c r="T233" s="754"/>
      <c r="AT233" s="749" t="s">
        <v>868</v>
      </c>
      <c r="AU233" s="749" t="s">
        <v>101</v>
      </c>
      <c r="AV233" s="748" t="s">
        <v>102</v>
      </c>
      <c r="AW233" s="748" t="s">
        <v>870</v>
      </c>
      <c r="AX233" s="748" t="s">
        <v>301</v>
      </c>
      <c r="AY233" s="749" t="s">
        <v>863</v>
      </c>
    </row>
    <row r="234" spans="2:65" s="715" customFormat="1" ht="11.4" x14ac:dyDescent="0.25">
      <c r="B234" s="714"/>
      <c r="D234" s="716" t="s">
        <v>868</v>
      </c>
      <c r="E234" s="717" t="s">
        <v>725</v>
      </c>
      <c r="F234" s="718" t="s">
        <v>925</v>
      </c>
      <c r="H234" s="717" t="s">
        <v>725</v>
      </c>
      <c r="K234" s="719"/>
      <c r="L234" s="714"/>
      <c r="M234" s="720"/>
      <c r="T234" s="721"/>
      <c r="AT234" s="717" t="s">
        <v>868</v>
      </c>
      <c r="AU234" s="717" t="s">
        <v>101</v>
      </c>
      <c r="AV234" s="715" t="s">
        <v>99</v>
      </c>
      <c r="AW234" s="715" t="s">
        <v>870</v>
      </c>
      <c r="AX234" s="715" t="s">
        <v>301</v>
      </c>
      <c r="AY234" s="717" t="s">
        <v>863</v>
      </c>
    </row>
    <row r="235" spans="2:65" s="723" customFormat="1" ht="11.4" x14ac:dyDescent="0.25">
      <c r="B235" s="722"/>
      <c r="D235" s="716" t="s">
        <v>868</v>
      </c>
      <c r="E235" s="724" t="s">
        <v>725</v>
      </c>
      <c r="F235" s="725" t="s">
        <v>988</v>
      </c>
      <c r="H235" s="726">
        <v>13.67</v>
      </c>
      <c r="K235" s="727"/>
      <c r="L235" s="722"/>
      <c r="M235" s="728"/>
      <c r="T235" s="729"/>
      <c r="AT235" s="724" t="s">
        <v>868</v>
      </c>
      <c r="AU235" s="724" t="s">
        <v>101</v>
      </c>
      <c r="AV235" s="723" t="s">
        <v>101</v>
      </c>
      <c r="AW235" s="723" t="s">
        <v>870</v>
      </c>
      <c r="AX235" s="723" t="s">
        <v>301</v>
      </c>
      <c r="AY235" s="724" t="s">
        <v>863</v>
      </c>
    </row>
    <row r="236" spans="2:65" s="723" customFormat="1" ht="11.4" x14ac:dyDescent="0.25">
      <c r="B236" s="722"/>
      <c r="D236" s="716" t="s">
        <v>868</v>
      </c>
      <c r="E236" s="724" t="s">
        <v>725</v>
      </c>
      <c r="F236" s="725" t="s">
        <v>989</v>
      </c>
      <c r="H236" s="726">
        <v>29.34</v>
      </c>
      <c r="K236" s="727"/>
      <c r="L236" s="722"/>
      <c r="M236" s="728"/>
      <c r="T236" s="729"/>
      <c r="AT236" s="724" t="s">
        <v>868</v>
      </c>
      <c r="AU236" s="724" t="s">
        <v>101</v>
      </c>
      <c r="AV236" s="723" t="s">
        <v>101</v>
      </c>
      <c r="AW236" s="723" t="s">
        <v>870</v>
      </c>
      <c r="AX236" s="723" t="s">
        <v>301</v>
      </c>
      <c r="AY236" s="724" t="s">
        <v>863</v>
      </c>
    </row>
    <row r="237" spans="2:65" s="748" customFormat="1" ht="11.4" x14ac:dyDescent="0.25">
      <c r="B237" s="747"/>
      <c r="D237" s="716" t="s">
        <v>868</v>
      </c>
      <c r="E237" s="749" t="s">
        <v>725</v>
      </c>
      <c r="F237" s="750" t="s">
        <v>965</v>
      </c>
      <c r="H237" s="751">
        <v>43.01</v>
      </c>
      <c r="K237" s="752"/>
      <c r="L237" s="747"/>
      <c r="M237" s="753"/>
      <c r="T237" s="754"/>
      <c r="AT237" s="749" t="s">
        <v>868</v>
      </c>
      <c r="AU237" s="749" t="s">
        <v>101</v>
      </c>
      <c r="AV237" s="748" t="s">
        <v>102</v>
      </c>
      <c r="AW237" s="748" t="s">
        <v>870</v>
      </c>
      <c r="AX237" s="748" t="s">
        <v>301</v>
      </c>
      <c r="AY237" s="749" t="s">
        <v>863</v>
      </c>
    </row>
    <row r="238" spans="2:65" s="731" customFormat="1" ht="11.4" x14ac:dyDescent="0.25">
      <c r="B238" s="730"/>
      <c r="D238" s="716" t="s">
        <v>868</v>
      </c>
      <c r="E238" s="732" t="s">
        <v>725</v>
      </c>
      <c r="F238" s="733" t="s">
        <v>873</v>
      </c>
      <c r="H238" s="734">
        <v>203.61</v>
      </c>
      <c r="K238" s="735"/>
      <c r="L238" s="730"/>
      <c r="M238" s="736"/>
      <c r="T238" s="737"/>
      <c r="AT238" s="732" t="s">
        <v>868</v>
      </c>
      <c r="AU238" s="732" t="s">
        <v>101</v>
      </c>
      <c r="AV238" s="731" t="s">
        <v>103</v>
      </c>
      <c r="AW238" s="731" t="s">
        <v>870</v>
      </c>
      <c r="AX238" s="731" t="s">
        <v>99</v>
      </c>
      <c r="AY238" s="732" t="s">
        <v>863</v>
      </c>
    </row>
    <row r="239" spans="2:65" s="163" customFormat="1" ht="14.4" customHeight="1" x14ac:dyDescent="0.25">
      <c r="B239" s="702"/>
      <c r="C239" s="738" t="s">
        <v>990</v>
      </c>
      <c r="D239" s="738" t="s">
        <v>298</v>
      </c>
      <c r="E239" s="739" t="s">
        <v>991</v>
      </c>
      <c r="F239" s="740" t="s">
        <v>992</v>
      </c>
      <c r="G239" s="741" t="s">
        <v>140</v>
      </c>
      <c r="H239" s="742">
        <v>26.408000000000001</v>
      </c>
      <c r="I239" s="743"/>
      <c r="J239" s="743">
        <f>ROUND(I239*H239,2)</f>
        <v>0</v>
      </c>
      <c r="K239" s="740" t="s">
        <v>931</v>
      </c>
      <c r="L239" s="744"/>
      <c r="M239" s="745" t="s">
        <v>725</v>
      </c>
      <c r="N239" s="746" t="s">
        <v>813</v>
      </c>
      <c r="O239" s="711">
        <v>0</v>
      </c>
      <c r="P239" s="711">
        <f>O239*H239</f>
        <v>0</v>
      </c>
      <c r="Q239" s="711">
        <v>0.22400999999999999</v>
      </c>
      <c r="R239" s="711">
        <f>Q239*H239</f>
        <v>5.9156560799999998</v>
      </c>
      <c r="S239" s="711">
        <v>0</v>
      </c>
      <c r="T239" s="712">
        <f>S239*H239</f>
        <v>0</v>
      </c>
      <c r="AR239" s="668" t="s">
        <v>111</v>
      </c>
      <c r="AT239" s="668" t="s">
        <v>298</v>
      </c>
      <c r="AU239" s="668" t="s">
        <v>101</v>
      </c>
      <c r="AY239" s="157" t="s">
        <v>863</v>
      </c>
      <c r="BE239" s="713">
        <f>IF(N239="základní",J239,0)</f>
        <v>0</v>
      </c>
      <c r="BF239" s="713">
        <f>IF(N239="snížená",J239,0)</f>
        <v>0</v>
      </c>
      <c r="BG239" s="713">
        <f>IF(N239="zákl. přenesená",J239,0)</f>
        <v>0</v>
      </c>
      <c r="BH239" s="713">
        <f>IF(N239="sníž. přenesená",J239,0)</f>
        <v>0</v>
      </c>
      <c r="BI239" s="713">
        <f>IF(N239="nulová",J239,0)</f>
        <v>0</v>
      </c>
      <c r="BJ239" s="157" t="s">
        <v>99</v>
      </c>
      <c r="BK239" s="713">
        <f>ROUND(I239*H239,2)</f>
        <v>0</v>
      </c>
      <c r="BL239" s="157" t="s">
        <v>103</v>
      </c>
      <c r="BM239" s="668" t="s">
        <v>993</v>
      </c>
    </row>
    <row r="240" spans="2:65" s="723" customFormat="1" ht="11.4" x14ac:dyDescent="0.25">
      <c r="B240" s="722"/>
      <c r="D240" s="716" t="s">
        <v>868</v>
      </c>
      <c r="E240" s="724" t="s">
        <v>725</v>
      </c>
      <c r="F240" s="725" t="s">
        <v>994</v>
      </c>
      <c r="H240" s="726">
        <v>25.89</v>
      </c>
      <c r="K240" s="727"/>
      <c r="L240" s="722"/>
      <c r="M240" s="728"/>
      <c r="T240" s="729"/>
      <c r="AT240" s="724" t="s">
        <v>868</v>
      </c>
      <c r="AU240" s="724" t="s">
        <v>101</v>
      </c>
      <c r="AV240" s="723" t="s">
        <v>101</v>
      </c>
      <c r="AW240" s="723" t="s">
        <v>870</v>
      </c>
      <c r="AX240" s="723" t="s">
        <v>99</v>
      </c>
      <c r="AY240" s="724" t="s">
        <v>863</v>
      </c>
    </row>
    <row r="241" spans="2:65" s="723" customFormat="1" ht="11.4" x14ac:dyDescent="0.25">
      <c r="B241" s="722"/>
      <c r="D241" s="716" t="s">
        <v>868</v>
      </c>
      <c r="F241" s="725" t="s">
        <v>995</v>
      </c>
      <c r="H241" s="726">
        <v>26.408000000000001</v>
      </c>
      <c r="K241" s="727"/>
      <c r="L241" s="722"/>
      <c r="M241" s="728"/>
      <c r="T241" s="729"/>
      <c r="AT241" s="724" t="s">
        <v>868</v>
      </c>
      <c r="AU241" s="724" t="s">
        <v>101</v>
      </c>
      <c r="AV241" s="723" t="s">
        <v>101</v>
      </c>
      <c r="AW241" s="723" t="s">
        <v>699</v>
      </c>
      <c r="AX241" s="723" t="s">
        <v>99</v>
      </c>
      <c r="AY241" s="724" t="s">
        <v>863</v>
      </c>
    </row>
    <row r="242" spans="2:65" s="163" customFormat="1" ht="14.4" customHeight="1" x14ac:dyDescent="0.25">
      <c r="B242" s="702"/>
      <c r="C242" s="738" t="s">
        <v>996</v>
      </c>
      <c r="D242" s="738" t="s">
        <v>298</v>
      </c>
      <c r="E242" s="739" t="s">
        <v>997</v>
      </c>
      <c r="F242" s="740" t="s">
        <v>998</v>
      </c>
      <c r="G242" s="741" t="s">
        <v>140</v>
      </c>
      <c r="H242" s="742">
        <v>181.274</v>
      </c>
      <c r="I242" s="743"/>
      <c r="J242" s="743">
        <f>ROUND(I242*H242,2)</f>
        <v>0</v>
      </c>
      <c r="K242" s="740" t="s">
        <v>931</v>
      </c>
      <c r="L242" s="744"/>
      <c r="M242" s="745" t="s">
        <v>725</v>
      </c>
      <c r="N242" s="746" t="s">
        <v>813</v>
      </c>
      <c r="O242" s="711">
        <v>0</v>
      </c>
      <c r="P242" s="711">
        <f>O242*H242</f>
        <v>0</v>
      </c>
      <c r="Q242" s="711">
        <v>0.14337</v>
      </c>
      <c r="R242" s="711">
        <f>Q242*H242</f>
        <v>25.989253380000001</v>
      </c>
      <c r="S242" s="711">
        <v>0</v>
      </c>
      <c r="T242" s="712">
        <f>S242*H242</f>
        <v>0</v>
      </c>
      <c r="AR242" s="668" t="s">
        <v>111</v>
      </c>
      <c r="AT242" s="668" t="s">
        <v>298</v>
      </c>
      <c r="AU242" s="668" t="s">
        <v>101</v>
      </c>
      <c r="AY242" s="157" t="s">
        <v>863</v>
      </c>
      <c r="BE242" s="713">
        <f>IF(N242="základní",J242,0)</f>
        <v>0</v>
      </c>
      <c r="BF242" s="713">
        <f>IF(N242="snížená",J242,0)</f>
        <v>0</v>
      </c>
      <c r="BG242" s="713">
        <f>IF(N242="zákl. přenesená",J242,0)</f>
        <v>0</v>
      </c>
      <c r="BH242" s="713">
        <f>IF(N242="sníž. přenesená",J242,0)</f>
        <v>0</v>
      </c>
      <c r="BI242" s="713">
        <f>IF(N242="nulová",J242,0)</f>
        <v>0</v>
      </c>
      <c r="BJ242" s="157" t="s">
        <v>99</v>
      </c>
      <c r="BK242" s="713">
        <f>ROUND(I242*H242,2)</f>
        <v>0</v>
      </c>
      <c r="BL242" s="157" t="s">
        <v>103</v>
      </c>
      <c r="BM242" s="668" t="s">
        <v>999</v>
      </c>
    </row>
    <row r="243" spans="2:65" s="723" customFormat="1" ht="11.4" x14ac:dyDescent="0.25">
      <c r="B243" s="722"/>
      <c r="D243" s="716" t="s">
        <v>868</v>
      </c>
      <c r="E243" s="724" t="s">
        <v>725</v>
      </c>
      <c r="F243" s="725" t="s">
        <v>1000</v>
      </c>
      <c r="H243" s="726">
        <v>177.72</v>
      </c>
      <c r="K243" s="727"/>
      <c r="L243" s="722"/>
      <c r="M243" s="728"/>
      <c r="T243" s="729"/>
      <c r="AT243" s="724" t="s">
        <v>868</v>
      </c>
      <c r="AU243" s="724" t="s">
        <v>101</v>
      </c>
      <c r="AV243" s="723" t="s">
        <v>101</v>
      </c>
      <c r="AW243" s="723" t="s">
        <v>870</v>
      </c>
      <c r="AX243" s="723" t="s">
        <v>99</v>
      </c>
      <c r="AY243" s="724" t="s">
        <v>863</v>
      </c>
    </row>
    <row r="244" spans="2:65" s="723" customFormat="1" ht="11.4" x14ac:dyDescent="0.25">
      <c r="B244" s="722"/>
      <c r="D244" s="716" t="s">
        <v>868</v>
      </c>
      <c r="F244" s="725" t="s">
        <v>1001</v>
      </c>
      <c r="H244" s="726">
        <v>181.274</v>
      </c>
      <c r="K244" s="727"/>
      <c r="L244" s="722"/>
      <c r="M244" s="728"/>
      <c r="T244" s="729"/>
      <c r="AT244" s="724" t="s">
        <v>868</v>
      </c>
      <c r="AU244" s="724" t="s">
        <v>101</v>
      </c>
      <c r="AV244" s="723" t="s">
        <v>101</v>
      </c>
      <c r="AW244" s="723" t="s">
        <v>699</v>
      </c>
      <c r="AX244" s="723" t="s">
        <v>99</v>
      </c>
      <c r="AY244" s="724" t="s">
        <v>863</v>
      </c>
    </row>
    <row r="245" spans="2:65" s="163" customFormat="1" ht="26.4" customHeight="1" x14ac:dyDescent="0.25">
      <c r="B245" s="702"/>
      <c r="C245" s="703" t="s">
        <v>1002</v>
      </c>
      <c r="D245" s="703" t="s">
        <v>864</v>
      </c>
      <c r="E245" s="704" t="s">
        <v>1003</v>
      </c>
      <c r="F245" s="705" t="s">
        <v>1004</v>
      </c>
      <c r="G245" s="706" t="s">
        <v>15</v>
      </c>
      <c r="H245" s="707">
        <v>1.8</v>
      </c>
      <c r="I245" s="708"/>
      <c r="J245" s="708">
        <f>ROUND(I245*H245,2)</f>
        <v>0</v>
      </c>
      <c r="K245" s="705" t="s">
        <v>2622</v>
      </c>
      <c r="L245" s="164"/>
      <c r="M245" s="709" t="s">
        <v>725</v>
      </c>
      <c r="N245" s="710" t="s">
        <v>813</v>
      </c>
      <c r="O245" s="711">
        <v>0.105</v>
      </c>
      <c r="P245" s="711">
        <f>O245*H245</f>
        <v>0.189</v>
      </c>
      <c r="Q245" s="711">
        <v>0</v>
      </c>
      <c r="R245" s="711">
        <f>Q245*H245</f>
        <v>0</v>
      </c>
      <c r="S245" s="711">
        <v>0</v>
      </c>
      <c r="T245" s="712">
        <f>S245*H245</f>
        <v>0</v>
      </c>
      <c r="AR245" s="668" t="s">
        <v>103</v>
      </c>
      <c r="AT245" s="668" t="s">
        <v>864</v>
      </c>
      <c r="AU245" s="668" t="s">
        <v>101</v>
      </c>
      <c r="AY245" s="157" t="s">
        <v>863</v>
      </c>
      <c r="BE245" s="713">
        <f>IF(N245="základní",J245,0)</f>
        <v>0</v>
      </c>
      <c r="BF245" s="713">
        <f>IF(N245="snížená",J245,0)</f>
        <v>0</v>
      </c>
      <c r="BG245" s="713">
        <f>IF(N245="zákl. přenesená",J245,0)</f>
        <v>0</v>
      </c>
      <c r="BH245" s="713">
        <f>IF(N245="sníž. přenesená",J245,0)</f>
        <v>0</v>
      </c>
      <c r="BI245" s="713">
        <f>IF(N245="nulová",J245,0)</f>
        <v>0</v>
      </c>
      <c r="BJ245" s="157" t="s">
        <v>99</v>
      </c>
      <c r="BK245" s="713">
        <f>ROUND(I245*H245,2)</f>
        <v>0</v>
      </c>
      <c r="BL245" s="157" t="s">
        <v>103</v>
      </c>
      <c r="BM245" s="668" t="s">
        <v>1005</v>
      </c>
    </row>
    <row r="246" spans="2:65" s="715" customFormat="1" ht="11.4" x14ac:dyDescent="0.25">
      <c r="B246" s="714"/>
      <c r="D246" s="716" t="s">
        <v>868</v>
      </c>
      <c r="E246" s="717" t="s">
        <v>725</v>
      </c>
      <c r="F246" s="718" t="s">
        <v>869</v>
      </c>
      <c r="H246" s="717" t="s">
        <v>725</v>
      </c>
      <c r="K246" s="719"/>
      <c r="L246" s="714"/>
      <c r="M246" s="720"/>
      <c r="T246" s="721"/>
      <c r="AT246" s="717" t="s">
        <v>868</v>
      </c>
      <c r="AU246" s="717" t="s">
        <v>101</v>
      </c>
      <c r="AV246" s="715" t="s">
        <v>99</v>
      </c>
      <c r="AW246" s="715" t="s">
        <v>870</v>
      </c>
      <c r="AX246" s="715" t="s">
        <v>301</v>
      </c>
      <c r="AY246" s="717" t="s">
        <v>863</v>
      </c>
    </row>
    <row r="247" spans="2:65" s="723" customFormat="1" ht="11.4" x14ac:dyDescent="0.25">
      <c r="B247" s="722"/>
      <c r="D247" s="716" t="s">
        <v>868</v>
      </c>
      <c r="E247" s="724" t="s">
        <v>725</v>
      </c>
      <c r="F247" s="725" t="s">
        <v>1006</v>
      </c>
      <c r="H247" s="726">
        <v>1.8</v>
      </c>
      <c r="K247" s="727"/>
      <c r="L247" s="722"/>
      <c r="M247" s="728"/>
      <c r="T247" s="729"/>
      <c r="AT247" s="724" t="s">
        <v>868</v>
      </c>
      <c r="AU247" s="724" t="s">
        <v>101</v>
      </c>
      <c r="AV247" s="723" t="s">
        <v>101</v>
      </c>
      <c r="AW247" s="723" t="s">
        <v>870</v>
      </c>
      <c r="AX247" s="723" t="s">
        <v>301</v>
      </c>
      <c r="AY247" s="724" t="s">
        <v>863</v>
      </c>
    </row>
    <row r="248" spans="2:65" s="731" customFormat="1" ht="11.4" x14ac:dyDescent="0.25">
      <c r="B248" s="730"/>
      <c r="D248" s="716" t="s">
        <v>868</v>
      </c>
      <c r="E248" s="732" t="s">
        <v>725</v>
      </c>
      <c r="F248" s="733" t="s">
        <v>873</v>
      </c>
      <c r="H248" s="734">
        <v>1.8</v>
      </c>
      <c r="K248" s="735"/>
      <c r="L248" s="730"/>
      <c r="M248" s="736"/>
      <c r="T248" s="737"/>
      <c r="AT248" s="732" t="s">
        <v>868</v>
      </c>
      <c r="AU248" s="732" t="s">
        <v>101</v>
      </c>
      <c r="AV248" s="731" t="s">
        <v>103</v>
      </c>
      <c r="AW248" s="731" t="s">
        <v>870</v>
      </c>
      <c r="AX248" s="731" t="s">
        <v>99</v>
      </c>
      <c r="AY248" s="732" t="s">
        <v>863</v>
      </c>
    </row>
    <row r="249" spans="2:65" s="690" customFormat="1" ht="22.95" customHeight="1" x14ac:dyDescent="0.25">
      <c r="B249" s="689"/>
      <c r="D249" s="691" t="s">
        <v>291</v>
      </c>
      <c r="E249" s="700" t="s">
        <v>105</v>
      </c>
      <c r="F249" s="700" t="s">
        <v>1007</v>
      </c>
      <c r="J249" s="701">
        <f>BK249</f>
        <v>0</v>
      </c>
      <c r="K249" s="694"/>
      <c r="L249" s="689"/>
      <c r="M249" s="695"/>
      <c r="P249" s="696">
        <f>SUM(P250:P533)</f>
        <v>2482.1456199999998</v>
      </c>
      <c r="R249" s="696">
        <f>SUM(R250:R533)</f>
        <v>988.90968569999995</v>
      </c>
      <c r="T249" s="697">
        <f>SUM(T250:T533)</f>
        <v>0</v>
      </c>
      <c r="AR249" s="691" t="s">
        <v>99</v>
      </c>
      <c r="AT249" s="698" t="s">
        <v>291</v>
      </c>
      <c r="AU249" s="698" t="s">
        <v>99</v>
      </c>
      <c r="AY249" s="691" t="s">
        <v>863</v>
      </c>
      <c r="BK249" s="699">
        <f>SUM(BK250:BK533)</f>
        <v>0</v>
      </c>
    </row>
    <row r="250" spans="2:65" s="163" customFormat="1" ht="25.95" customHeight="1" x14ac:dyDescent="0.25">
      <c r="B250" s="702"/>
      <c r="C250" s="703" t="s">
        <v>1008</v>
      </c>
      <c r="D250" s="703" t="s">
        <v>864</v>
      </c>
      <c r="E250" s="704" t="s">
        <v>1009</v>
      </c>
      <c r="F250" s="705" t="s">
        <v>1010</v>
      </c>
      <c r="G250" s="706" t="s">
        <v>15</v>
      </c>
      <c r="H250" s="707">
        <v>149.35</v>
      </c>
      <c r="I250" s="708"/>
      <c r="J250" s="708">
        <f>ROUND(I250*H250,2)</f>
        <v>0</v>
      </c>
      <c r="K250" s="705" t="s">
        <v>931</v>
      </c>
      <c r="L250" s="164"/>
      <c r="M250" s="709" t="s">
        <v>725</v>
      </c>
      <c r="N250" s="710" t="s">
        <v>813</v>
      </c>
      <c r="O250" s="711">
        <v>2.3E-2</v>
      </c>
      <c r="P250" s="711">
        <f>O250*H250</f>
        <v>3.4350499999999999</v>
      </c>
      <c r="Q250" s="711">
        <v>0</v>
      </c>
      <c r="R250" s="711">
        <f>Q250*H250</f>
        <v>0</v>
      </c>
      <c r="S250" s="711">
        <v>0</v>
      </c>
      <c r="T250" s="712">
        <f>S250*H250</f>
        <v>0</v>
      </c>
      <c r="AR250" s="668" t="s">
        <v>103</v>
      </c>
      <c r="AT250" s="668" t="s">
        <v>864</v>
      </c>
      <c r="AU250" s="668" t="s">
        <v>101</v>
      </c>
      <c r="AY250" s="157" t="s">
        <v>863</v>
      </c>
      <c r="BE250" s="713">
        <f>IF(N250="základní",J250,0)</f>
        <v>0</v>
      </c>
      <c r="BF250" s="713">
        <f>IF(N250="snížená",J250,0)</f>
        <v>0</v>
      </c>
      <c r="BG250" s="713">
        <f>IF(N250="zákl. přenesená",J250,0)</f>
        <v>0</v>
      </c>
      <c r="BH250" s="713">
        <f>IF(N250="sníž. přenesená",J250,0)</f>
        <v>0</v>
      </c>
      <c r="BI250" s="713">
        <f>IF(N250="nulová",J250,0)</f>
        <v>0</v>
      </c>
      <c r="BJ250" s="157" t="s">
        <v>99</v>
      </c>
      <c r="BK250" s="713">
        <f>ROUND(I250*H250,2)</f>
        <v>0</v>
      </c>
      <c r="BL250" s="157" t="s">
        <v>103</v>
      </c>
      <c r="BM250" s="668" t="s">
        <v>1011</v>
      </c>
    </row>
    <row r="251" spans="2:65" s="715" customFormat="1" ht="11.4" x14ac:dyDescent="0.25">
      <c r="B251" s="714"/>
      <c r="D251" s="716" t="s">
        <v>868</v>
      </c>
      <c r="E251" s="717" t="s">
        <v>725</v>
      </c>
      <c r="F251" s="718" t="s">
        <v>881</v>
      </c>
      <c r="H251" s="717" t="s">
        <v>725</v>
      </c>
      <c r="K251" s="719"/>
      <c r="L251" s="714"/>
      <c r="M251" s="720"/>
      <c r="T251" s="721"/>
      <c r="AT251" s="717" t="s">
        <v>868</v>
      </c>
      <c r="AU251" s="717" t="s">
        <v>101</v>
      </c>
      <c r="AV251" s="715" t="s">
        <v>99</v>
      </c>
      <c r="AW251" s="715" t="s">
        <v>870</v>
      </c>
      <c r="AX251" s="715" t="s">
        <v>301</v>
      </c>
      <c r="AY251" s="717" t="s">
        <v>863</v>
      </c>
    </row>
    <row r="252" spans="2:65" s="715" customFormat="1" ht="11.4" x14ac:dyDescent="0.25">
      <c r="B252" s="714"/>
      <c r="D252" s="716" t="s">
        <v>868</v>
      </c>
      <c r="E252" s="717" t="s">
        <v>725</v>
      </c>
      <c r="F252" s="718" t="s">
        <v>869</v>
      </c>
      <c r="H252" s="717" t="s">
        <v>725</v>
      </c>
      <c r="K252" s="719"/>
      <c r="L252" s="714"/>
      <c r="M252" s="720"/>
      <c r="T252" s="721"/>
      <c r="AT252" s="717" t="s">
        <v>868</v>
      </c>
      <c r="AU252" s="717" t="s">
        <v>101</v>
      </c>
      <c r="AV252" s="715" t="s">
        <v>99</v>
      </c>
      <c r="AW252" s="715" t="s">
        <v>870</v>
      </c>
      <c r="AX252" s="715" t="s">
        <v>301</v>
      </c>
      <c r="AY252" s="717" t="s">
        <v>863</v>
      </c>
    </row>
    <row r="253" spans="2:65" s="715" customFormat="1" ht="11.4" x14ac:dyDescent="0.25">
      <c r="B253" s="714"/>
      <c r="D253" s="716" t="s">
        <v>868</v>
      </c>
      <c r="E253" s="717" t="s">
        <v>725</v>
      </c>
      <c r="F253" s="718" t="s">
        <v>887</v>
      </c>
      <c r="H253" s="717" t="s">
        <v>725</v>
      </c>
      <c r="K253" s="719"/>
      <c r="L253" s="714"/>
      <c r="M253" s="720"/>
      <c r="T253" s="721"/>
      <c r="AT253" s="717" t="s">
        <v>868</v>
      </c>
      <c r="AU253" s="717" t="s">
        <v>101</v>
      </c>
      <c r="AV253" s="715" t="s">
        <v>99</v>
      </c>
      <c r="AW253" s="715" t="s">
        <v>870</v>
      </c>
      <c r="AX253" s="715" t="s">
        <v>301</v>
      </c>
      <c r="AY253" s="717" t="s">
        <v>863</v>
      </c>
    </row>
    <row r="254" spans="2:65" s="715" customFormat="1" ht="11.4" x14ac:dyDescent="0.25">
      <c r="B254" s="714"/>
      <c r="D254" s="716" t="s">
        <v>868</v>
      </c>
      <c r="E254" s="717" t="s">
        <v>725</v>
      </c>
      <c r="F254" s="718" t="s">
        <v>888</v>
      </c>
      <c r="H254" s="717" t="s">
        <v>725</v>
      </c>
      <c r="K254" s="719"/>
      <c r="L254" s="714"/>
      <c r="M254" s="720"/>
      <c r="T254" s="721"/>
      <c r="AT254" s="717" t="s">
        <v>868</v>
      </c>
      <c r="AU254" s="717" t="s">
        <v>101</v>
      </c>
      <c r="AV254" s="715" t="s">
        <v>99</v>
      </c>
      <c r="AW254" s="715" t="s">
        <v>870</v>
      </c>
      <c r="AX254" s="715" t="s">
        <v>301</v>
      </c>
      <c r="AY254" s="717" t="s">
        <v>863</v>
      </c>
    </row>
    <row r="255" spans="2:65" s="723" customFormat="1" ht="11.4" x14ac:dyDescent="0.25">
      <c r="B255" s="722"/>
      <c r="D255" s="716" t="s">
        <v>868</v>
      </c>
      <c r="E255" s="724" t="s">
        <v>725</v>
      </c>
      <c r="F255" s="725" t="s">
        <v>767</v>
      </c>
      <c r="H255" s="726">
        <v>149.35</v>
      </c>
      <c r="K255" s="727"/>
      <c r="L255" s="722"/>
      <c r="M255" s="728"/>
      <c r="T255" s="729"/>
      <c r="AT255" s="724" t="s">
        <v>868</v>
      </c>
      <c r="AU255" s="724" t="s">
        <v>101</v>
      </c>
      <c r="AV255" s="723" t="s">
        <v>101</v>
      </c>
      <c r="AW255" s="723" t="s">
        <v>870</v>
      </c>
      <c r="AX255" s="723" t="s">
        <v>301</v>
      </c>
      <c r="AY255" s="724" t="s">
        <v>863</v>
      </c>
    </row>
    <row r="256" spans="2:65" s="731" customFormat="1" ht="11.4" x14ac:dyDescent="0.25">
      <c r="B256" s="730"/>
      <c r="D256" s="716" t="s">
        <v>868</v>
      </c>
      <c r="E256" s="732" t="s">
        <v>725</v>
      </c>
      <c r="F256" s="733" t="s">
        <v>873</v>
      </c>
      <c r="H256" s="734">
        <v>149.35</v>
      </c>
      <c r="K256" s="735"/>
      <c r="L256" s="730"/>
      <c r="M256" s="736"/>
      <c r="T256" s="737"/>
      <c r="AT256" s="732" t="s">
        <v>868</v>
      </c>
      <c r="AU256" s="732" t="s">
        <v>101</v>
      </c>
      <c r="AV256" s="731" t="s">
        <v>103</v>
      </c>
      <c r="AW256" s="731" t="s">
        <v>870</v>
      </c>
      <c r="AX256" s="731" t="s">
        <v>99</v>
      </c>
      <c r="AY256" s="732" t="s">
        <v>863</v>
      </c>
    </row>
    <row r="257" spans="2:65" s="163" customFormat="1" ht="14.4" customHeight="1" x14ac:dyDescent="0.25">
      <c r="B257" s="702"/>
      <c r="C257" s="738" t="s">
        <v>1012</v>
      </c>
      <c r="D257" s="738" t="s">
        <v>298</v>
      </c>
      <c r="E257" s="739" t="s">
        <v>1013</v>
      </c>
      <c r="F257" s="740" t="s">
        <v>1014</v>
      </c>
      <c r="G257" s="741" t="s">
        <v>45</v>
      </c>
      <c r="H257" s="742">
        <v>26.344999999999999</v>
      </c>
      <c r="I257" s="743"/>
      <c r="J257" s="743">
        <f>ROUND(I257*H257,2)</f>
        <v>0</v>
      </c>
      <c r="K257" s="740" t="s">
        <v>931</v>
      </c>
      <c r="L257" s="744"/>
      <c r="M257" s="745" t="s">
        <v>725</v>
      </c>
      <c r="N257" s="746" t="s">
        <v>813</v>
      </c>
      <c r="O257" s="711">
        <v>0</v>
      </c>
      <c r="P257" s="711">
        <f>O257*H257</f>
        <v>0</v>
      </c>
      <c r="Q257" s="711">
        <v>0</v>
      </c>
      <c r="R257" s="711">
        <f>Q257*H257</f>
        <v>0</v>
      </c>
      <c r="S257" s="711">
        <v>0</v>
      </c>
      <c r="T257" s="712">
        <f>S257*H257</f>
        <v>0</v>
      </c>
      <c r="AR257" s="668" t="s">
        <v>111</v>
      </c>
      <c r="AT257" s="668" t="s">
        <v>298</v>
      </c>
      <c r="AU257" s="668" t="s">
        <v>101</v>
      </c>
      <c r="AY257" s="157" t="s">
        <v>863</v>
      </c>
      <c r="BE257" s="713">
        <f>IF(N257="základní",J257,0)</f>
        <v>0</v>
      </c>
      <c r="BF257" s="713">
        <f>IF(N257="snížená",J257,0)</f>
        <v>0</v>
      </c>
      <c r="BG257" s="713">
        <f>IF(N257="zákl. přenesená",J257,0)</f>
        <v>0</v>
      </c>
      <c r="BH257" s="713">
        <f>IF(N257="sníž. přenesená",J257,0)</f>
        <v>0</v>
      </c>
      <c r="BI257" s="713">
        <f>IF(N257="nulová",J257,0)</f>
        <v>0</v>
      </c>
      <c r="BJ257" s="157" t="s">
        <v>99</v>
      </c>
      <c r="BK257" s="713">
        <f>ROUND(I257*H257,2)</f>
        <v>0</v>
      </c>
      <c r="BL257" s="157" t="s">
        <v>103</v>
      </c>
      <c r="BM257" s="668" t="s">
        <v>1015</v>
      </c>
    </row>
    <row r="258" spans="2:65" s="723" customFormat="1" ht="11.4" x14ac:dyDescent="0.25">
      <c r="B258" s="722"/>
      <c r="D258" s="716" t="s">
        <v>868</v>
      </c>
      <c r="E258" s="724" t="s">
        <v>725</v>
      </c>
      <c r="F258" s="725" t="s">
        <v>1016</v>
      </c>
      <c r="H258" s="726">
        <v>21.954000000000001</v>
      </c>
      <c r="K258" s="727"/>
      <c r="L258" s="722"/>
      <c r="M258" s="728"/>
      <c r="T258" s="729"/>
      <c r="AT258" s="724" t="s">
        <v>868</v>
      </c>
      <c r="AU258" s="724" t="s">
        <v>101</v>
      </c>
      <c r="AV258" s="723" t="s">
        <v>101</v>
      </c>
      <c r="AW258" s="723" t="s">
        <v>870</v>
      </c>
      <c r="AX258" s="723" t="s">
        <v>99</v>
      </c>
      <c r="AY258" s="724" t="s">
        <v>863</v>
      </c>
    </row>
    <row r="259" spans="2:65" s="723" customFormat="1" ht="11.4" x14ac:dyDescent="0.25">
      <c r="B259" s="722"/>
      <c r="D259" s="716" t="s">
        <v>868</v>
      </c>
      <c r="F259" s="725" t="s">
        <v>1017</v>
      </c>
      <c r="H259" s="726">
        <v>26.344999999999999</v>
      </c>
      <c r="K259" s="727"/>
      <c r="L259" s="722"/>
      <c r="M259" s="728"/>
      <c r="T259" s="729"/>
      <c r="AT259" s="724" t="s">
        <v>868</v>
      </c>
      <c r="AU259" s="724" t="s">
        <v>101</v>
      </c>
      <c r="AV259" s="723" t="s">
        <v>101</v>
      </c>
      <c r="AW259" s="723" t="s">
        <v>699</v>
      </c>
      <c r="AX259" s="723" t="s">
        <v>99</v>
      </c>
      <c r="AY259" s="724" t="s">
        <v>863</v>
      </c>
    </row>
    <row r="260" spans="2:65" s="163" customFormat="1" ht="14.4" customHeight="1" x14ac:dyDescent="0.25">
      <c r="B260" s="702"/>
      <c r="C260" s="703" t="s">
        <v>1018</v>
      </c>
      <c r="D260" s="703" t="s">
        <v>864</v>
      </c>
      <c r="E260" s="704" t="s">
        <v>1019</v>
      </c>
      <c r="F260" s="705" t="s">
        <v>1020</v>
      </c>
      <c r="G260" s="706" t="s">
        <v>15</v>
      </c>
      <c r="H260" s="707">
        <v>21.36</v>
      </c>
      <c r="I260" s="708"/>
      <c r="J260" s="708">
        <f>ROUND(I260*H260,2)</f>
        <v>0</v>
      </c>
      <c r="K260" s="705" t="s">
        <v>2622</v>
      </c>
      <c r="L260" s="164"/>
      <c r="M260" s="709" t="s">
        <v>725</v>
      </c>
      <c r="N260" s="710" t="s">
        <v>813</v>
      </c>
      <c r="O260" s="711">
        <v>0.02</v>
      </c>
      <c r="P260" s="711">
        <f>O260*H260</f>
        <v>0.42720000000000002</v>
      </c>
      <c r="Q260" s="711">
        <v>0</v>
      </c>
      <c r="R260" s="711">
        <f>Q260*H260</f>
        <v>0</v>
      </c>
      <c r="S260" s="711">
        <v>0</v>
      </c>
      <c r="T260" s="712">
        <f>S260*H260</f>
        <v>0</v>
      </c>
      <c r="AR260" s="668" t="s">
        <v>103</v>
      </c>
      <c r="AT260" s="668" t="s">
        <v>864</v>
      </c>
      <c r="AU260" s="668" t="s">
        <v>101</v>
      </c>
      <c r="AY260" s="157" t="s">
        <v>863</v>
      </c>
      <c r="BE260" s="713">
        <f>IF(N260="základní",J260,0)</f>
        <v>0</v>
      </c>
      <c r="BF260" s="713">
        <f>IF(N260="snížená",J260,0)</f>
        <v>0</v>
      </c>
      <c r="BG260" s="713">
        <f>IF(N260="zákl. přenesená",J260,0)</f>
        <v>0</v>
      </c>
      <c r="BH260" s="713">
        <f>IF(N260="sníž. přenesená",J260,0)</f>
        <v>0</v>
      </c>
      <c r="BI260" s="713">
        <f>IF(N260="nulová",J260,0)</f>
        <v>0</v>
      </c>
      <c r="BJ260" s="157" t="s">
        <v>99</v>
      </c>
      <c r="BK260" s="713">
        <f>ROUND(I260*H260,2)</f>
        <v>0</v>
      </c>
      <c r="BL260" s="157" t="s">
        <v>103</v>
      </c>
      <c r="BM260" s="668" t="s">
        <v>1021</v>
      </c>
    </row>
    <row r="261" spans="2:65" s="715" customFormat="1" ht="11.4" x14ac:dyDescent="0.25">
      <c r="B261" s="714"/>
      <c r="D261" s="716" t="s">
        <v>868</v>
      </c>
      <c r="E261" s="717" t="s">
        <v>725</v>
      </c>
      <c r="F261" s="718" t="s">
        <v>881</v>
      </c>
      <c r="H261" s="717" t="s">
        <v>725</v>
      </c>
      <c r="K261" s="719"/>
      <c r="L261" s="714"/>
      <c r="M261" s="720"/>
      <c r="T261" s="721"/>
      <c r="AT261" s="717" t="s">
        <v>868</v>
      </c>
      <c r="AU261" s="717" t="s">
        <v>101</v>
      </c>
      <c r="AV261" s="715" t="s">
        <v>99</v>
      </c>
      <c r="AW261" s="715" t="s">
        <v>870</v>
      </c>
      <c r="AX261" s="715" t="s">
        <v>301</v>
      </c>
      <c r="AY261" s="717" t="s">
        <v>863</v>
      </c>
    </row>
    <row r="262" spans="2:65" s="715" customFormat="1" ht="11.4" x14ac:dyDescent="0.25">
      <c r="B262" s="714"/>
      <c r="D262" s="716" t="s">
        <v>868</v>
      </c>
      <c r="E262" s="717" t="s">
        <v>725</v>
      </c>
      <c r="F262" s="718" t="s">
        <v>869</v>
      </c>
      <c r="H262" s="717" t="s">
        <v>725</v>
      </c>
      <c r="K262" s="719"/>
      <c r="L262" s="714"/>
      <c r="M262" s="720"/>
      <c r="T262" s="721"/>
      <c r="AT262" s="717" t="s">
        <v>868</v>
      </c>
      <c r="AU262" s="717" t="s">
        <v>101</v>
      </c>
      <c r="AV262" s="715" t="s">
        <v>99</v>
      </c>
      <c r="AW262" s="715" t="s">
        <v>870</v>
      </c>
      <c r="AX262" s="715" t="s">
        <v>301</v>
      </c>
      <c r="AY262" s="717" t="s">
        <v>863</v>
      </c>
    </row>
    <row r="263" spans="2:65" s="715" customFormat="1" ht="11.4" x14ac:dyDescent="0.25">
      <c r="B263" s="714"/>
      <c r="D263" s="716" t="s">
        <v>868</v>
      </c>
      <c r="E263" s="717" t="s">
        <v>725</v>
      </c>
      <c r="F263" s="718" t="s">
        <v>887</v>
      </c>
      <c r="H263" s="717" t="s">
        <v>725</v>
      </c>
      <c r="K263" s="719"/>
      <c r="L263" s="714"/>
      <c r="M263" s="720"/>
      <c r="T263" s="721"/>
      <c r="AT263" s="717" t="s">
        <v>868</v>
      </c>
      <c r="AU263" s="717" t="s">
        <v>101</v>
      </c>
      <c r="AV263" s="715" t="s">
        <v>99</v>
      </c>
      <c r="AW263" s="715" t="s">
        <v>870</v>
      </c>
      <c r="AX263" s="715" t="s">
        <v>301</v>
      </c>
      <c r="AY263" s="717" t="s">
        <v>863</v>
      </c>
    </row>
    <row r="264" spans="2:65" s="715" customFormat="1" ht="11.4" x14ac:dyDescent="0.25">
      <c r="B264" s="714"/>
      <c r="D264" s="716" t="s">
        <v>868</v>
      </c>
      <c r="E264" s="717" t="s">
        <v>725</v>
      </c>
      <c r="F264" s="718" t="s">
        <v>888</v>
      </c>
      <c r="H264" s="717" t="s">
        <v>725</v>
      </c>
      <c r="K264" s="719"/>
      <c r="L264" s="714"/>
      <c r="M264" s="720"/>
      <c r="T264" s="721"/>
      <c r="AT264" s="717" t="s">
        <v>868</v>
      </c>
      <c r="AU264" s="717" t="s">
        <v>101</v>
      </c>
      <c r="AV264" s="715" t="s">
        <v>99</v>
      </c>
      <c r="AW264" s="715" t="s">
        <v>870</v>
      </c>
      <c r="AX264" s="715" t="s">
        <v>301</v>
      </c>
      <c r="AY264" s="717" t="s">
        <v>863</v>
      </c>
    </row>
    <row r="265" spans="2:65" s="723" customFormat="1" ht="11.4" x14ac:dyDescent="0.25">
      <c r="B265" s="722"/>
      <c r="D265" s="716" t="s">
        <v>868</v>
      </c>
      <c r="E265" s="724" t="s">
        <v>725</v>
      </c>
      <c r="F265" s="725" t="s">
        <v>779</v>
      </c>
      <c r="H265" s="726">
        <v>21.36</v>
      </c>
      <c r="K265" s="727"/>
      <c r="L265" s="722"/>
      <c r="M265" s="728"/>
      <c r="T265" s="729"/>
      <c r="AT265" s="724" t="s">
        <v>868</v>
      </c>
      <c r="AU265" s="724" t="s">
        <v>101</v>
      </c>
      <c r="AV265" s="723" t="s">
        <v>101</v>
      </c>
      <c r="AW265" s="723" t="s">
        <v>870</v>
      </c>
      <c r="AX265" s="723" t="s">
        <v>301</v>
      </c>
      <c r="AY265" s="724" t="s">
        <v>863</v>
      </c>
    </row>
    <row r="266" spans="2:65" s="731" customFormat="1" ht="11.4" x14ac:dyDescent="0.25">
      <c r="B266" s="730"/>
      <c r="D266" s="716" t="s">
        <v>868</v>
      </c>
      <c r="E266" s="732" t="s">
        <v>725</v>
      </c>
      <c r="F266" s="733" t="s">
        <v>873</v>
      </c>
      <c r="H266" s="734">
        <v>21.36</v>
      </c>
      <c r="K266" s="735"/>
      <c r="L266" s="730"/>
      <c r="M266" s="736"/>
      <c r="T266" s="737"/>
      <c r="AT266" s="732" t="s">
        <v>868</v>
      </c>
      <c r="AU266" s="732" t="s">
        <v>101</v>
      </c>
      <c r="AV266" s="731" t="s">
        <v>103</v>
      </c>
      <c r="AW266" s="731" t="s">
        <v>870</v>
      </c>
      <c r="AX266" s="731" t="s">
        <v>99</v>
      </c>
      <c r="AY266" s="732" t="s">
        <v>863</v>
      </c>
    </row>
    <row r="267" spans="2:65" s="163" customFormat="1" ht="14.4" customHeight="1" x14ac:dyDescent="0.25">
      <c r="B267" s="702"/>
      <c r="C267" s="703" t="s">
        <v>1022</v>
      </c>
      <c r="D267" s="703" t="s">
        <v>864</v>
      </c>
      <c r="E267" s="704" t="s">
        <v>1023</v>
      </c>
      <c r="F267" s="705" t="s">
        <v>1024</v>
      </c>
      <c r="G267" s="706" t="s">
        <v>15</v>
      </c>
      <c r="H267" s="707">
        <v>1556.91</v>
      </c>
      <c r="I267" s="708"/>
      <c r="J267" s="708">
        <f>ROUND(I267*H267,2)</f>
        <v>0</v>
      </c>
      <c r="K267" s="705" t="s">
        <v>2622</v>
      </c>
      <c r="L267" s="164"/>
      <c r="M267" s="709" t="s">
        <v>725</v>
      </c>
      <c r="N267" s="710" t="s">
        <v>813</v>
      </c>
      <c r="O267" s="711">
        <v>2.3E-2</v>
      </c>
      <c r="P267" s="711">
        <f>O267*H267</f>
        <v>35.808930000000004</v>
      </c>
      <c r="Q267" s="711">
        <v>0</v>
      </c>
      <c r="R267" s="711">
        <f>Q267*H267</f>
        <v>0</v>
      </c>
      <c r="S267" s="711">
        <v>0</v>
      </c>
      <c r="T267" s="712">
        <f>S267*H267</f>
        <v>0</v>
      </c>
      <c r="AR267" s="668" t="s">
        <v>103</v>
      </c>
      <c r="AT267" s="668" t="s">
        <v>864</v>
      </c>
      <c r="AU267" s="668" t="s">
        <v>101</v>
      </c>
      <c r="AY267" s="157" t="s">
        <v>863</v>
      </c>
      <c r="BE267" s="713">
        <f>IF(N267="základní",J267,0)</f>
        <v>0</v>
      </c>
      <c r="BF267" s="713">
        <f>IF(N267="snížená",J267,0)</f>
        <v>0</v>
      </c>
      <c r="BG267" s="713">
        <f>IF(N267="zákl. přenesená",J267,0)</f>
        <v>0</v>
      </c>
      <c r="BH267" s="713">
        <f>IF(N267="sníž. přenesená",J267,0)</f>
        <v>0</v>
      </c>
      <c r="BI267" s="713">
        <f>IF(N267="nulová",J267,0)</f>
        <v>0</v>
      </c>
      <c r="BJ267" s="157" t="s">
        <v>99</v>
      </c>
      <c r="BK267" s="713">
        <f>ROUND(I267*H267,2)</f>
        <v>0</v>
      </c>
      <c r="BL267" s="157" t="s">
        <v>103</v>
      </c>
      <c r="BM267" s="668" t="s">
        <v>1025</v>
      </c>
    </row>
    <row r="268" spans="2:65" s="715" customFormat="1" ht="11.4" x14ac:dyDescent="0.25">
      <c r="B268" s="714"/>
      <c r="D268" s="716" t="s">
        <v>868</v>
      </c>
      <c r="E268" s="717" t="s">
        <v>725</v>
      </c>
      <c r="F268" s="718" t="s">
        <v>881</v>
      </c>
      <c r="H268" s="717" t="s">
        <v>725</v>
      </c>
      <c r="K268" s="719"/>
      <c r="L268" s="714"/>
      <c r="M268" s="720"/>
      <c r="T268" s="721"/>
      <c r="AT268" s="717" t="s">
        <v>868</v>
      </c>
      <c r="AU268" s="717" t="s">
        <v>101</v>
      </c>
      <c r="AV268" s="715" t="s">
        <v>99</v>
      </c>
      <c r="AW268" s="715" t="s">
        <v>870</v>
      </c>
      <c r="AX268" s="715" t="s">
        <v>301</v>
      </c>
      <c r="AY268" s="717" t="s">
        <v>863</v>
      </c>
    </row>
    <row r="269" spans="2:65" s="715" customFormat="1" ht="11.4" x14ac:dyDescent="0.25">
      <c r="B269" s="714"/>
      <c r="D269" s="716" t="s">
        <v>868</v>
      </c>
      <c r="E269" s="717" t="s">
        <v>725</v>
      </c>
      <c r="F269" s="718" t="s">
        <v>869</v>
      </c>
      <c r="H269" s="717" t="s">
        <v>725</v>
      </c>
      <c r="K269" s="719"/>
      <c r="L269" s="714"/>
      <c r="M269" s="720"/>
      <c r="T269" s="721"/>
      <c r="AT269" s="717" t="s">
        <v>868</v>
      </c>
      <c r="AU269" s="717" t="s">
        <v>101</v>
      </c>
      <c r="AV269" s="715" t="s">
        <v>99</v>
      </c>
      <c r="AW269" s="715" t="s">
        <v>870</v>
      </c>
      <c r="AX269" s="715" t="s">
        <v>301</v>
      </c>
      <c r="AY269" s="717" t="s">
        <v>863</v>
      </c>
    </row>
    <row r="270" spans="2:65" s="715" customFormat="1" ht="11.4" x14ac:dyDescent="0.25">
      <c r="B270" s="714"/>
      <c r="D270" s="716" t="s">
        <v>868</v>
      </c>
      <c r="E270" s="717" t="s">
        <v>725</v>
      </c>
      <c r="F270" s="718" t="s">
        <v>887</v>
      </c>
      <c r="H270" s="717" t="s">
        <v>725</v>
      </c>
      <c r="K270" s="719"/>
      <c r="L270" s="714"/>
      <c r="M270" s="720"/>
      <c r="T270" s="721"/>
      <c r="AT270" s="717" t="s">
        <v>868</v>
      </c>
      <c r="AU270" s="717" t="s">
        <v>101</v>
      </c>
      <c r="AV270" s="715" t="s">
        <v>99</v>
      </c>
      <c r="AW270" s="715" t="s">
        <v>870</v>
      </c>
      <c r="AX270" s="715" t="s">
        <v>301</v>
      </c>
      <c r="AY270" s="717" t="s">
        <v>863</v>
      </c>
    </row>
    <row r="271" spans="2:65" s="715" customFormat="1" ht="11.4" x14ac:dyDescent="0.25">
      <c r="B271" s="714"/>
      <c r="D271" s="716" t="s">
        <v>868</v>
      </c>
      <c r="E271" s="717" t="s">
        <v>725</v>
      </c>
      <c r="F271" s="718" t="s">
        <v>888</v>
      </c>
      <c r="H271" s="717" t="s">
        <v>725</v>
      </c>
      <c r="K271" s="719"/>
      <c r="L271" s="714"/>
      <c r="M271" s="720"/>
      <c r="T271" s="721"/>
      <c r="AT271" s="717" t="s">
        <v>868</v>
      </c>
      <c r="AU271" s="717" t="s">
        <v>101</v>
      </c>
      <c r="AV271" s="715" t="s">
        <v>99</v>
      </c>
      <c r="AW271" s="715" t="s">
        <v>870</v>
      </c>
      <c r="AX271" s="715" t="s">
        <v>301</v>
      </c>
      <c r="AY271" s="717" t="s">
        <v>863</v>
      </c>
    </row>
    <row r="272" spans="2:65" s="723" customFormat="1" ht="11.4" x14ac:dyDescent="0.25">
      <c r="B272" s="722"/>
      <c r="D272" s="716" t="s">
        <v>868</v>
      </c>
      <c r="E272" s="724" t="s">
        <v>725</v>
      </c>
      <c r="F272" s="725" t="s">
        <v>727</v>
      </c>
      <c r="H272" s="726">
        <v>1088.2</v>
      </c>
      <c r="K272" s="727"/>
      <c r="L272" s="722"/>
      <c r="M272" s="728"/>
      <c r="T272" s="729"/>
      <c r="AT272" s="724" t="s">
        <v>868</v>
      </c>
      <c r="AU272" s="724" t="s">
        <v>101</v>
      </c>
      <c r="AV272" s="723" t="s">
        <v>101</v>
      </c>
      <c r="AW272" s="723" t="s">
        <v>870</v>
      </c>
      <c r="AX272" s="723" t="s">
        <v>301</v>
      </c>
      <c r="AY272" s="724" t="s">
        <v>863</v>
      </c>
    </row>
    <row r="273" spans="2:65" s="723" customFormat="1" ht="11.4" x14ac:dyDescent="0.25">
      <c r="B273" s="722"/>
      <c r="D273" s="716" t="s">
        <v>868</v>
      </c>
      <c r="E273" s="724" t="s">
        <v>725</v>
      </c>
      <c r="F273" s="725" t="s">
        <v>741</v>
      </c>
      <c r="H273" s="726">
        <v>10.24</v>
      </c>
      <c r="K273" s="727"/>
      <c r="L273" s="722"/>
      <c r="M273" s="728"/>
      <c r="T273" s="729"/>
      <c r="AT273" s="724" t="s">
        <v>868</v>
      </c>
      <c r="AU273" s="724" t="s">
        <v>101</v>
      </c>
      <c r="AV273" s="723" t="s">
        <v>101</v>
      </c>
      <c r="AW273" s="723" t="s">
        <v>870</v>
      </c>
      <c r="AX273" s="723" t="s">
        <v>301</v>
      </c>
      <c r="AY273" s="724" t="s">
        <v>863</v>
      </c>
    </row>
    <row r="274" spans="2:65" s="723" customFormat="1" ht="11.4" x14ac:dyDescent="0.25">
      <c r="B274" s="722"/>
      <c r="D274" s="716" t="s">
        <v>868</v>
      </c>
      <c r="E274" s="724" t="s">
        <v>725</v>
      </c>
      <c r="F274" s="725" t="s">
        <v>733</v>
      </c>
      <c r="H274" s="726">
        <v>439.13</v>
      </c>
      <c r="K274" s="727"/>
      <c r="L274" s="722"/>
      <c r="M274" s="728"/>
      <c r="T274" s="729"/>
      <c r="AT274" s="724" t="s">
        <v>868</v>
      </c>
      <c r="AU274" s="724" t="s">
        <v>101</v>
      </c>
      <c r="AV274" s="723" t="s">
        <v>101</v>
      </c>
      <c r="AW274" s="723" t="s">
        <v>870</v>
      </c>
      <c r="AX274" s="723" t="s">
        <v>301</v>
      </c>
      <c r="AY274" s="724" t="s">
        <v>863</v>
      </c>
    </row>
    <row r="275" spans="2:65" s="723" customFormat="1" ht="11.4" x14ac:dyDescent="0.25">
      <c r="B275" s="722"/>
      <c r="D275" s="716" t="s">
        <v>868</v>
      </c>
      <c r="E275" s="724" t="s">
        <v>725</v>
      </c>
      <c r="F275" s="725" t="s">
        <v>793</v>
      </c>
      <c r="H275" s="726">
        <v>1.33</v>
      </c>
      <c r="K275" s="727"/>
      <c r="L275" s="722"/>
      <c r="M275" s="728"/>
      <c r="T275" s="729"/>
      <c r="AT275" s="724" t="s">
        <v>868</v>
      </c>
      <c r="AU275" s="724" t="s">
        <v>101</v>
      </c>
      <c r="AV275" s="723" t="s">
        <v>101</v>
      </c>
      <c r="AW275" s="723" t="s">
        <v>870</v>
      </c>
      <c r="AX275" s="723" t="s">
        <v>301</v>
      </c>
      <c r="AY275" s="724" t="s">
        <v>863</v>
      </c>
    </row>
    <row r="276" spans="2:65" s="723" customFormat="1" ht="11.4" x14ac:dyDescent="0.25">
      <c r="B276" s="722"/>
      <c r="D276" s="716" t="s">
        <v>868</v>
      </c>
      <c r="E276" s="724" t="s">
        <v>725</v>
      </c>
      <c r="F276" s="725" t="s">
        <v>800</v>
      </c>
      <c r="H276" s="726">
        <v>1.03</v>
      </c>
      <c r="K276" s="727"/>
      <c r="L276" s="722"/>
      <c r="M276" s="728"/>
      <c r="T276" s="729"/>
      <c r="AT276" s="724" t="s">
        <v>868</v>
      </c>
      <c r="AU276" s="724" t="s">
        <v>101</v>
      </c>
      <c r="AV276" s="723" t="s">
        <v>101</v>
      </c>
      <c r="AW276" s="723" t="s">
        <v>870</v>
      </c>
      <c r="AX276" s="723" t="s">
        <v>301</v>
      </c>
      <c r="AY276" s="724" t="s">
        <v>863</v>
      </c>
    </row>
    <row r="277" spans="2:65" s="723" customFormat="1" ht="11.4" x14ac:dyDescent="0.25">
      <c r="B277" s="722"/>
      <c r="D277" s="716" t="s">
        <v>868</v>
      </c>
      <c r="E277" s="724" t="s">
        <v>725</v>
      </c>
      <c r="F277" s="725" t="s">
        <v>796</v>
      </c>
      <c r="H277" s="726">
        <v>10.59</v>
      </c>
      <c r="K277" s="727"/>
      <c r="L277" s="722"/>
      <c r="M277" s="728"/>
      <c r="T277" s="729"/>
      <c r="AT277" s="724" t="s">
        <v>868</v>
      </c>
      <c r="AU277" s="724" t="s">
        <v>101</v>
      </c>
      <c r="AV277" s="723" t="s">
        <v>101</v>
      </c>
      <c r="AW277" s="723" t="s">
        <v>870</v>
      </c>
      <c r="AX277" s="723" t="s">
        <v>301</v>
      </c>
      <c r="AY277" s="724" t="s">
        <v>863</v>
      </c>
    </row>
    <row r="278" spans="2:65" s="723" customFormat="1" ht="11.4" x14ac:dyDescent="0.25">
      <c r="B278" s="722"/>
      <c r="D278" s="716" t="s">
        <v>868</v>
      </c>
      <c r="E278" s="724" t="s">
        <v>725</v>
      </c>
      <c r="F278" s="725" t="s">
        <v>803</v>
      </c>
      <c r="H278" s="726">
        <v>6.39</v>
      </c>
      <c r="K278" s="727"/>
      <c r="L278" s="722"/>
      <c r="M278" s="728"/>
      <c r="T278" s="729"/>
      <c r="AT278" s="724" t="s">
        <v>868</v>
      </c>
      <c r="AU278" s="724" t="s">
        <v>101</v>
      </c>
      <c r="AV278" s="723" t="s">
        <v>101</v>
      </c>
      <c r="AW278" s="723" t="s">
        <v>870</v>
      </c>
      <c r="AX278" s="723" t="s">
        <v>301</v>
      </c>
      <c r="AY278" s="724" t="s">
        <v>863</v>
      </c>
    </row>
    <row r="279" spans="2:65" s="731" customFormat="1" ht="11.4" x14ac:dyDescent="0.25">
      <c r="B279" s="730"/>
      <c r="D279" s="716" t="s">
        <v>868</v>
      </c>
      <c r="E279" s="732" t="s">
        <v>725</v>
      </c>
      <c r="F279" s="733" t="s">
        <v>873</v>
      </c>
      <c r="H279" s="734">
        <v>1556.91</v>
      </c>
      <c r="K279" s="735"/>
      <c r="L279" s="730"/>
      <c r="M279" s="736"/>
      <c r="T279" s="737"/>
      <c r="AT279" s="732" t="s">
        <v>868</v>
      </c>
      <c r="AU279" s="732" t="s">
        <v>101</v>
      </c>
      <c r="AV279" s="731" t="s">
        <v>103</v>
      </c>
      <c r="AW279" s="731" t="s">
        <v>870</v>
      </c>
      <c r="AX279" s="731" t="s">
        <v>99</v>
      </c>
      <c r="AY279" s="732" t="s">
        <v>863</v>
      </c>
    </row>
    <row r="280" spans="2:65" s="163" customFormat="1" ht="14.4" customHeight="1" x14ac:dyDescent="0.25">
      <c r="B280" s="702"/>
      <c r="C280" s="703" t="s">
        <v>1026</v>
      </c>
      <c r="D280" s="703" t="s">
        <v>864</v>
      </c>
      <c r="E280" s="704" t="s">
        <v>1027</v>
      </c>
      <c r="F280" s="705" t="s">
        <v>1028</v>
      </c>
      <c r="G280" s="706" t="s">
        <v>15</v>
      </c>
      <c r="H280" s="707">
        <v>1556.91</v>
      </c>
      <c r="I280" s="708"/>
      <c r="J280" s="708">
        <f>ROUND(I280*H280,2)</f>
        <v>0</v>
      </c>
      <c r="K280" s="705" t="s">
        <v>2622</v>
      </c>
      <c r="L280" s="164"/>
      <c r="M280" s="709" t="s">
        <v>725</v>
      </c>
      <c r="N280" s="710" t="s">
        <v>813</v>
      </c>
      <c r="O280" s="711">
        <v>2.5999999999999999E-2</v>
      </c>
      <c r="P280" s="711">
        <f>O280*H280</f>
        <v>40.479660000000003</v>
      </c>
      <c r="Q280" s="711">
        <v>0</v>
      </c>
      <c r="R280" s="711">
        <f>Q280*H280</f>
        <v>0</v>
      </c>
      <c r="S280" s="711">
        <v>0</v>
      </c>
      <c r="T280" s="712">
        <f>S280*H280</f>
        <v>0</v>
      </c>
      <c r="AR280" s="668" t="s">
        <v>103</v>
      </c>
      <c r="AT280" s="668" t="s">
        <v>864</v>
      </c>
      <c r="AU280" s="668" t="s">
        <v>101</v>
      </c>
      <c r="AY280" s="157" t="s">
        <v>863</v>
      </c>
      <c r="BE280" s="713">
        <f>IF(N280="základní",J280,0)</f>
        <v>0</v>
      </c>
      <c r="BF280" s="713">
        <f>IF(N280="snížená",J280,0)</f>
        <v>0</v>
      </c>
      <c r="BG280" s="713">
        <f>IF(N280="zákl. přenesená",J280,0)</f>
        <v>0</v>
      </c>
      <c r="BH280" s="713">
        <f>IF(N280="sníž. přenesená",J280,0)</f>
        <v>0</v>
      </c>
      <c r="BI280" s="713">
        <f>IF(N280="nulová",J280,0)</f>
        <v>0</v>
      </c>
      <c r="BJ280" s="157" t="s">
        <v>99</v>
      </c>
      <c r="BK280" s="713">
        <f>ROUND(I280*H280,2)</f>
        <v>0</v>
      </c>
      <c r="BL280" s="157" t="s">
        <v>103</v>
      </c>
      <c r="BM280" s="668" t="s">
        <v>1029</v>
      </c>
    </row>
    <row r="281" spans="2:65" s="715" customFormat="1" ht="11.4" x14ac:dyDescent="0.25">
      <c r="B281" s="714"/>
      <c r="D281" s="716" t="s">
        <v>868</v>
      </c>
      <c r="E281" s="717" t="s">
        <v>725</v>
      </c>
      <c r="F281" s="718" t="s">
        <v>881</v>
      </c>
      <c r="H281" s="717" t="s">
        <v>725</v>
      </c>
      <c r="K281" s="719"/>
      <c r="L281" s="714"/>
      <c r="M281" s="720"/>
      <c r="T281" s="721"/>
      <c r="AT281" s="717" t="s">
        <v>868</v>
      </c>
      <c r="AU281" s="717" t="s">
        <v>101</v>
      </c>
      <c r="AV281" s="715" t="s">
        <v>99</v>
      </c>
      <c r="AW281" s="715" t="s">
        <v>870</v>
      </c>
      <c r="AX281" s="715" t="s">
        <v>301</v>
      </c>
      <c r="AY281" s="717" t="s">
        <v>863</v>
      </c>
    </row>
    <row r="282" spans="2:65" s="715" customFormat="1" ht="11.4" x14ac:dyDescent="0.25">
      <c r="B282" s="714"/>
      <c r="D282" s="716" t="s">
        <v>868</v>
      </c>
      <c r="E282" s="717" t="s">
        <v>725</v>
      </c>
      <c r="F282" s="718" t="s">
        <v>869</v>
      </c>
      <c r="H282" s="717" t="s">
        <v>725</v>
      </c>
      <c r="K282" s="719"/>
      <c r="L282" s="714"/>
      <c r="M282" s="720"/>
      <c r="T282" s="721"/>
      <c r="AT282" s="717" t="s">
        <v>868</v>
      </c>
      <c r="AU282" s="717" t="s">
        <v>101</v>
      </c>
      <c r="AV282" s="715" t="s">
        <v>99</v>
      </c>
      <c r="AW282" s="715" t="s">
        <v>870</v>
      </c>
      <c r="AX282" s="715" t="s">
        <v>301</v>
      </c>
      <c r="AY282" s="717" t="s">
        <v>863</v>
      </c>
    </row>
    <row r="283" spans="2:65" s="715" customFormat="1" ht="11.4" x14ac:dyDescent="0.25">
      <c r="B283" s="714"/>
      <c r="D283" s="716" t="s">
        <v>868</v>
      </c>
      <c r="E283" s="717" t="s">
        <v>725</v>
      </c>
      <c r="F283" s="718" t="s">
        <v>887</v>
      </c>
      <c r="H283" s="717" t="s">
        <v>725</v>
      </c>
      <c r="K283" s="719"/>
      <c r="L283" s="714"/>
      <c r="M283" s="720"/>
      <c r="T283" s="721"/>
      <c r="AT283" s="717" t="s">
        <v>868</v>
      </c>
      <c r="AU283" s="717" t="s">
        <v>101</v>
      </c>
      <c r="AV283" s="715" t="s">
        <v>99</v>
      </c>
      <c r="AW283" s="715" t="s">
        <v>870</v>
      </c>
      <c r="AX283" s="715" t="s">
        <v>301</v>
      </c>
      <c r="AY283" s="717" t="s">
        <v>863</v>
      </c>
    </row>
    <row r="284" spans="2:65" s="715" customFormat="1" ht="11.4" x14ac:dyDescent="0.25">
      <c r="B284" s="714"/>
      <c r="D284" s="716" t="s">
        <v>868</v>
      </c>
      <c r="E284" s="717" t="s">
        <v>725</v>
      </c>
      <c r="F284" s="718" t="s">
        <v>888</v>
      </c>
      <c r="H284" s="717" t="s">
        <v>725</v>
      </c>
      <c r="K284" s="719"/>
      <c r="L284" s="714"/>
      <c r="M284" s="720"/>
      <c r="T284" s="721"/>
      <c r="AT284" s="717" t="s">
        <v>868</v>
      </c>
      <c r="AU284" s="717" t="s">
        <v>101</v>
      </c>
      <c r="AV284" s="715" t="s">
        <v>99</v>
      </c>
      <c r="AW284" s="715" t="s">
        <v>870</v>
      </c>
      <c r="AX284" s="715" t="s">
        <v>301</v>
      </c>
      <c r="AY284" s="717" t="s">
        <v>863</v>
      </c>
    </row>
    <row r="285" spans="2:65" s="723" customFormat="1" ht="11.4" x14ac:dyDescent="0.25">
      <c r="B285" s="722"/>
      <c r="D285" s="716" t="s">
        <v>868</v>
      </c>
      <c r="E285" s="724" t="s">
        <v>725</v>
      </c>
      <c r="F285" s="725" t="s">
        <v>727</v>
      </c>
      <c r="H285" s="726">
        <v>1088.2</v>
      </c>
      <c r="K285" s="727"/>
      <c r="L285" s="722"/>
      <c r="M285" s="728"/>
      <c r="T285" s="729"/>
      <c r="AT285" s="724" t="s">
        <v>868</v>
      </c>
      <c r="AU285" s="724" t="s">
        <v>101</v>
      </c>
      <c r="AV285" s="723" t="s">
        <v>101</v>
      </c>
      <c r="AW285" s="723" t="s">
        <v>870</v>
      </c>
      <c r="AX285" s="723" t="s">
        <v>301</v>
      </c>
      <c r="AY285" s="724" t="s">
        <v>863</v>
      </c>
    </row>
    <row r="286" spans="2:65" s="723" customFormat="1" ht="11.4" x14ac:dyDescent="0.25">
      <c r="B286" s="722"/>
      <c r="D286" s="716" t="s">
        <v>868</v>
      </c>
      <c r="E286" s="724" t="s">
        <v>725</v>
      </c>
      <c r="F286" s="725" t="s">
        <v>741</v>
      </c>
      <c r="H286" s="726">
        <v>10.24</v>
      </c>
      <c r="K286" s="727"/>
      <c r="L286" s="722"/>
      <c r="M286" s="728"/>
      <c r="T286" s="729"/>
      <c r="AT286" s="724" t="s">
        <v>868</v>
      </c>
      <c r="AU286" s="724" t="s">
        <v>101</v>
      </c>
      <c r="AV286" s="723" t="s">
        <v>101</v>
      </c>
      <c r="AW286" s="723" t="s">
        <v>870</v>
      </c>
      <c r="AX286" s="723" t="s">
        <v>301</v>
      </c>
      <c r="AY286" s="724" t="s">
        <v>863</v>
      </c>
    </row>
    <row r="287" spans="2:65" s="723" customFormat="1" ht="11.4" x14ac:dyDescent="0.25">
      <c r="B287" s="722"/>
      <c r="D287" s="716" t="s">
        <v>868</v>
      </c>
      <c r="E287" s="724" t="s">
        <v>725</v>
      </c>
      <c r="F287" s="725" t="s">
        <v>733</v>
      </c>
      <c r="H287" s="726">
        <v>439.13</v>
      </c>
      <c r="K287" s="727"/>
      <c r="L287" s="722"/>
      <c r="M287" s="728"/>
      <c r="T287" s="729"/>
      <c r="AT287" s="724" t="s">
        <v>868</v>
      </c>
      <c r="AU287" s="724" t="s">
        <v>101</v>
      </c>
      <c r="AV287" s="723" t="s">
        <v>101</v>
      </c>
      <c r="AW287" s="723" t="s">
        <v>870</v>
      </c>
      <c r="AX287" s="723" t="s">
        <v>301</v>
      </c>
      <c r="AY287" s="724" t="s">
        <v>863</v>
      </c>
    </row>
    <row r="288" spans="2:65" s="723" customFormat="1" ht="11.4" x14ac:dyDescent="0.25">
      <c r="B288" s="722"/>
      <c r="D288" s="716" t="s">
        <v>868</v>
      </c>
      <c r="E288" s="724" t="s">
        <v>725</v>
      </c>
      <c r="F288" s="725" t="s">
        <v>793</v>
      </c>
      <c r="H288" s="726">
        <v>1.33</v>
      </c>
      <c r="K288" s="727"/>
      <c r="L288" s="722"/>
      <c r="M288" s="728"/>
      <c r="T288" s="729"/>
      <c r="AT288" s="724" t="s">
        <v>868</v>
      </c>
      <c r="AU288" s="724" t="s">
        <v>101</v>
      </c>
      <c r="AV288" s="723" t="s">
        <v>101</v>
      </c>
      <c r="AW288" s="723" t="s">
        <v>870</v>
      </c>
      <c r="AX288" s="723" t="s">
        <v>301</v>
      </c>
      <c r="AY288" s="724" t="s">
        <v>863</v>
      </c>
    </row>
    <row r="289" spans="2:65" s="723" customFormat="1" ht="11.4" x14ac:dyDescent="0.25">
      <c r="B289" s="722"/>
      <c r="D289" s="716" t="s">
        <v>868</v>
      </c>
      <c r="E289" s="724" t="s">
        <v>725</v>
      </c>
      <c r="F289" s="725" t="s">
        <v>800</v>
      </c>
      <c r="H289" s="726">
        <v>1.03</v>
      </c>
      <c r="K289" s="727"/>
      <c r="L289" s="722"/>
      <c r="M289" s="728"/>
      <c r="T289" s="729"/>
      <c r="AT289" s="724" t="s">
        <v>868</v>
      </c>
      <c r="AU289" s="724" t="s">
        <v>101</v>
      </c>
      <c r="AV289" s="723" t="s">
        <v>101</v>
      </c>
      <c r="AW289" s="723" t="s">
        <v>870</v>
      </c>
      <c r="AX289" s="723" t="s">
        <v>301</v>
      </c>
      <c r="AY289" s="724" t="s">
        <v>863</v>
      </c>
    </row>
    <row r="290" spans="2:65" s="723" customFormat="1" ht="11.4" x14ac:dyDescent="0.25">
      <c r="B290" s="722"/>
      <c r="D290" s="716" t="s">
        <v>868</v>
      </c>
      <c r="E290" s="724" t="s">
        <v>725</v>
      </c>
      <c r="F290" s="725" t="s">
        <v>796</v>
      </c>
      <c r="H290" s="726">
        <v>10.59</v>
      </c>
      <c r="K290" s="727"/>
      <c r="L290" s="722"/>
      <c r="M290" s="728"/>
      <c r="T290" s="729"/>
      <c r="AT290" s="724" t="s">
        <v>868</v>
      </c>
      <c r="AU290" s="724" t="s">
        <v>101</v>
      </c>
      <c r="AV290" s="723" t="s">
        <v>101</v>
      </c>
      <c r="AW290" s="723" t="s">
        <v>870</v>
      </c>
      <c r="AX290" s="723" t="s">
        <v>301</v>
      </c>
      <c r="AY290" s="724" t="s">
        <v>863</v>
      </c>
    </row>
    <row r="291" spans="2:65" s="723" customFormat="1" ht="11.4" x14ac:dyDescent="0.25">
      <c r="B291" s="722"/>
      <c r="D291" s="716" t="s">
        <v>868</v>
      </c>
      <c r="E291" s="724" t="s">
        <v>725</v>
      </c>
      <c r="F291" s="725" t="s">
        <v>803</v>
      </c>
      <c r="H291" s="726">
        <v>6.39</v>
      </c>
      <c r="K291" s="727"/>
      <c r="L291" s="722"/>
      <c r="M291" s="728"/>
      <c r="T291" s="729"/>
      <c r="AT291" s="724" t="s">
        <v>868</v>
      </c>
      <c r="AU291" s="724" t="s">
        <v>101</v>
      </c>
      <c r="AV291" s="723" t="s">
        <v>101</v>
      </c>
      <c r="AW291" s="723" t="s">
        <v>870</v>
      </c>
      <c r="AX291" s="723" t="s">
        <v>301</v>
      </c>
      <c r="AY291" s="724" t="s">
        <v>863</v>
      </c>
    </row>
    <row r="292" spans="2:65" s="731" customFormat="1" ht="11.4" x14ac:dyDescent="0.25">
      <c r="B292" s="730"/>
      <c r="D292" s="716" t="s">
        <v>868</v>
      </c>
      <c r="E292" s="732" t="s">
        <v>725</v>
      </c>
      <c r="F292" s="733" t="s">
        <v>873</v>
      </c>
      <c r="H292" s="734">
        <v>1556.91</v>
      </c>
      <c r="K292" s="735"/>
      <c r="L292" s="730"/>
      <c r="M292" s="736"/>
      <c r="T292" s="737"/>
      <c r="AT292" s="732" t="s">
        <v>868</v>
      </c>
      <c r="AU292" s="732" t="s">
        <v>101</v>
      </c>
      <c r="AV292" s="731" t="s">
        <v>103</v>
      </c>
      <c r="AW292" s="731" t="s">
        <v>870</v>
      </c>
      <c r="AX292" s="731" t="s">
        <v>99</v>
      </c>
      <c r="AY292" s="732" t="s">
        <v>863</v>
      </c>
    </row>
    <row r="293" spans="2:65" s="163" customFormat="1" ht="14.4" customHeight="1" x14ac:dyDescent="0.25">
      <c r="B293" s="702"/>
      <c r="C293" s="703" t="s">
        <v>1030</v>
      </c>
      <c r="D293" s="703" t="s">
        <v>864</v>
      </c>
      <c r="E293" s="704" t="s">
        <v>1031</v>
      </c>
      <c r="F293" s="705" t="s">
        <v>1032</v>
      </c>
      <c r="G293" s="706" t="s">
        <v>15</v>
      </c>
      <c r="H293" s="707">
        <v>724.48500000000001</v>
      </c>
      <c r="I293" s="708"/>
      <c r="J293" s="708">
        <f>ROUND(I293*H293,2)</f>
        <v>0</v>
      </c>
      <c r="K293" s="705" t="s">
        <v>2622</v>
      </c>
      <c r="L293" s="164"/>
      <c r="M293" s="709" t="s">
        <v>725</v>
      </c>
      <c r="N293" s="710" t="s">
        <v>813</v>
      </c>
      <c r="O293" s="711">
        <v>2.5999999999999999E-2</v>
      </c>
      <c r="P293" s="711">
        <f>O293*H293</f>
        <v>18.83661</v>
      </c>
      <c r="Q293" s="711">
        <v>0</v>
      </c>
      <c r="R293" s="711">
        <f>Q293*H293</f>
        <v>0</v>
      </c>
      <c r="S293" s="711">
        <v>0</v>
      </c>
      <c r="T293" s="712">
        <f>S293*H293</f>
        <v>0</v>
      </c>
      <c r="AR293" s="668" t="s">
        <v>103</v>
      </c>
      <c r="AT293" s="668" t="s">
        <v>864</v>
      </c>
      <c r="AU293" s="668" t="s">
        <v>101</v>
      </c>
      <c r="AY293" s="157" t="s">
        <v>863</v>
      </c>
      <c r="BE293" s="713">
        <f>IF(N293="základní",J293,0)</f>
        <v>0</v>
      </c>
      <c r="BF293" s="713">
        <f>IF(N293="snížená",J293,0)</f>
        <v>0</v>
      </c>
      <c r="BG293" s="713">
        <f>IF(N293="zákl. přenesená",J293,0)</f>
        <v>0</v>
      </c>
      <c r="BH293" s="713">
        <f>IF(N293="sníž. přenesená",J293,0)</f>
        <v>0</v>
      </c>
      <c r="BI293" s="713">
        <f>IF(N293="nulová",J293,0)</f>
        <v>0</v>
      </c>
      <c r="BJ293" s="157" t="s">
        <v>99</v>
      </c>
      <c r="BK293" s="713">
        <f>ROUND(I293*H293,2)</f>
        <v>0</v>
      </c>
      <c r="BL293" s="157" t="s">
        <v>103</v>
      </c>
      <c r="BM293" s="668" t="s">
        <v>1033</v>
      </c>
    </row>
    <row r="294" spans="2:65" s="715" customFormat="1" ht="11.4" x14ac:dyDescent="0.25">
      <c r="B294" s="714"/>
      <c r="D294" s="716" t="s">
        <v>868</v>
      </c>
      <c r="E294" s="717" t="s">
        <v>725</v>
      </c>
      <c r="F294" s="718" t="s">
        <v>881</v>
      </c>
      <c r="H294" s="717" t="s">
        <v>725</v>
      </c>
      <c r="K294" s="719"/>
      <c r="L294" s="714"/>
      <c r="M294" s="720"/>
      <c r="T294" s="721"/>
      <c r="AT294" s="717" t="s">
        <v>868</v>
      </c>
      <c r="AU294" s="717" t="s">
        <v>101</v>
      </c>
      <c r="AV294" s="715" t="s">
        <v>99</v>
      </c>
      <c r="AW294" s="715" t="s">
        <v>870</v>
      </c>
      <c r="AX294" s="715" t="s">
        <v>301</v>
      </c>
      <c r="AY294" s="717" t="s">
        <v>863</v>
      </c>
    </row>
    <row r="295" spans="2:65" s="715" customFormat="1" ht="11.4" x14ac:dyDescent="0.25">
      <c r="B295" s="714"/>
      <c r="D295" s="716" t="s">
        <v>868</v>
      </c>
      <c r="E295" s="717" t="s">
        <v>725</v>
      </c>
      <c r="F295" s="718" t="s">
        <v>869</v>
      </c>
      <c r="H295" s="717" t="s">
        <v>725</v>
      </c>
      <c r="K295" s="719"/>
      <c r="L295" s="714"/>
      <c r="M295" s="720"/>
      <c r="T295" s="721"/>
      <c r="AT295" s="717" t="s">
        <v>868</v>
      </c>
      <c r="AU295" s="717" t="s">
        <v>101</v>
      </c>
      <c r="AV295" s="715" t="s">
        <v>99</v>
      </c>
      <c r="AW295" s="715" t="s">
        <v>870</v>
      </c>
      <c r="AX295" s="715" t="s">
        <v>301</v>
      </c>
      <c r="AY295" s="717" t="s">
        <v>863</v>
      </c>
    </row>
    <row r="296" spans="2:65" s="715" customFormat="1" ht="11.4" x14ac:dyDescent="0.25">
      <c r="B296" s="714"/>
      <c r="D296" s="716" t="s">
        <v>868</v>
      </c>
      <c r="E296" s="717" t="s">
        <v>725</v>
      </c>
      <c r="F296" s="718" t="s">
        <v>887</v>
      </c>
      <c r="H296" s="717" t="s">
        <v>725</v>
      </c>
      <c r="K296" s="719"/>
      <c r="L296" s="714"/>
      <c r="M296" s="720"/>
      <c r="T296" s="721"/>
      <c r="AT296" s="717" t="s">
        <v>868</v>
      </c>
      <c r="AU296" s="717" t="s">
        <v>101</v>
      </c>
      <c r="AV296" s="715" t="s">
        <v>99</v>
      </c>
      <c r="AW296" s="715" t="s">
        <v>870</v>
      </c>
      <c r="AX296" s="715" t="s">
        <v>301</v>
      </c>
      <c r="AY296" s="717" t="s">
        <v>863</v>
      </c>
    </row>
    <row r="297" spans="2:65" s="715" customFormat="1" ht="11.4" x14ac:dyDescent="0.25">
      <c r="B297" s="714"/>
      <c r="D297" s="716" t="s">
        <v>868</v>
      </c>
      <c r="E297" s="717" t="s">
        <v>725</v>
      </c>
      <c r="F297" s="718" t="s">
        <v>888</v>
      </c>
      <c r="H297" s="717" t="s">
        <v>725</v>
      </c>
      <c r="K297" s="719"/>
      <c r="L297" s="714"/>
      <c r="M297" s="720"/>
      <c r="T297" s="721"/>
      <c r="AT297" s="717" t="s">
        <v>868</v>
      </c>
      <c r="AU297" s="717" t="s">
        <v>101</v>
      </c>
      <c r="AV297" s="715" t="s">
        <v>99</v>
      </c>
      <c r="AW297" s="715" t="s">
        <v>870</v>
      </c>
      <c r="AX297" s="715" t="s">
        <v>301</v>
      </c>
      <c r="AY297" s="717" t="s">
        <v>863</v>
      </c>
    </row>
    <row r="298" spans="2:65" s="723" customFormat="1" ht="11.4" x14ac:dyDescent="0.25">
      <c r="B298" s="722"/>
      <c r="D298" s="716" t="s">
        <v>868</v>
      </c>
      <c r="E298" s="724" t="s">
        <v>725</v>
      </c>
      <c r="F298" s="725" t="s">
        <v>703</v>
      </c>
      <c r="H298" s="726">
        <v>33.274999999999999</v>
      </c>
      <c r="K298" s="727"/>
      <c r="L298" s="722"/>
      <c r="M298" s="728"/>
      <c r="T298" s="729"/>
      <c r="AT298" s="724" t="s">
        <v>868</v>
      </c>
      <c r="AU298" s="724" t="s">
        <v>101</v>
      </c>
      <c r="AV298" s="723" t="s">
        <v>101</v>
      </c>
      <c r="AW298" s="723" t="s">
        <v>870</v>
      </c>
      <c r="AX298" s="723" t="s">
        <v>301</v>
      </c>
      <c r="AY298" s="724" t="s">
        <v>863</v>
      </c>
    </row>
    <row r="299" spans="2:65" s="723" customFormat="1" ht="11.4" x14ac:dyDescent="0.25">
      <c r="B299" s="722"/>
      <c r="D299" s="716" t="s">
        <v>868</v>
      </c>
      <c r="E299" s="724" t="s">
        <v>725</v>
      </c>
      <c r="F299" s="725" t="s">
        <v>694</v>
      </c>
      <c r="H299" s="726">
        <v>88</v>
      </c>
      <c r="K299" s="727"/>
      <c r="L299" s="722"/>
      <c r="M299" s="728"/>
      <c r="T299" s="729"/>
      <c r="AT299" s="724" t="s">
        <v>868</v>
      </c>
      <c r="AU299" s="724" t="s">
        <v>101</v>
      </c>
      <c r="AV299" s="723" t="s">
        <v>101</v>
      </c>
      <c r="AW299" s="723" t="s">
        <v>870</v>
      </c>
      <c r="AX299" s="723" t="s">
        <v>301</v>
      </c>
      <c r="AY299" s="724" t="s">
        <v>863</v>
      </c>
    </row>
    <row r="300" spans="2:65" s="723" customFormat="1" ht="11.4" x14ac:dyDescent="0.25">
      <c r="B300" s="722"/>
      <c r="D300" s="716" t="s">
        <v>868</v>
      </c>
      <c r="E300" s="724" t="s">
        <v>725</v>
      </c>
      <c r="F300" s="725" t="s">
        <v>700</v>
      </c>
      <c r="H300" s="726">
        <v>19.25</v>
      </c>
      <c r="K300" s="727"/>
      <c r="L300" s="722"/>
      <c r="M300" s="728"/>
      <c r="T300" s="729"/>
      <c r="AT300" s="724" t="s">
        <v>868</v>
      </c>
      <c r="AU300" s="724" t="s">
        <v>101</v>
      </c>
      <c r="AV300" s="723" t="s">
        <v>101</v>
      </c>
      <c r="AW300" s="723" t="s">
        <v>870</v>
      </c>
      <c r="AX300" s="723" t="s">
        <v>301</v>
      </c>
      <c r="AY300" s="724" t="s">
        <v>863</v>
      </c>
    </row>
    <row r="301" spans="2:65" s="723" customFormat="1" ht="11.4" x14ac:dyDescent="0.25">
      <c r="B301" s="722"/>
      <c r="D301" s="716" t="s">
        <v>868</v>
      </c>
      <c r="E301" s="724" t="s">
        <v>725</v>
      </c>
      <c r="F301" s="725" t="s">
        <v>746</v>
      </c>
      <c r="H301" s="726">
        <v>411.88</v>
      </c>
      <c r="K301" s="727"/>
      <c r="L301" s="722"/>
      <c r="M301" s="728"/>
      <c r="T301" s="729"/>
      <c r="AT301" s="724" t="s">
        <v>868</v>
      </c>
      <c r="AU301" s="724" t="s">
        <v>101</v>
      </c>
      <c r="AV301" s="723" t="s">
        <v>101</v>
      </c>
      <c r="AW301" s="723" t="s">
        <v>870</v>
      </c>
      <c r="AX301" s="723" t="s">
        <v>301</v>
      </c>
      <c r="AY301" s="724" t="s">
        <v>863</v>
      </c>
    </row>
    <row r="302" spans="2:65" s="723" customFormat="1" ht="11.4" x14ac:dyDescent="0.25">
      <c r="B302" s="722"/>
      <c r="D302" s="716" t="s">
        <v>868</v>
      </c>
      <c r="E302" s="724" t="s">
        <v>725</v>
      </c>
      <c r="F302" s="725" t="s">
        <v>749</v>
      </c>
      <c r="H302" s="726">
        <v>33.229999999999997</v>
      </c>
      <c r="K302" s="727"/>
      <c r="L302" s="722"/>
      <c r="M302" s="728"/>
      <c r="T302" s="729"/>
      <c r="AT302" s="724" t="s">
        <v>868</v>
      </c>
      <c r="AU302" s="724" t="s">
        <v>101</v>
      </c>
      <c r="AV302" s="723" t="s">
        <v>101</v>
      </c>
      <c r="AW302" s="723" t="s">
        <v>870</v>
      </c>
      <c r="AX302" s="723" t="s">
        <v>301</v>
      </c>
      <c r="AY302" s="724" t="s">
        <v>863</v>
      </c>
    </row>
    <row r="303" spans="2:65" s="723" customFormat="1" ht="11.4" x14ac:dyDescent="0.25">
      <c r="B303" s="722"/>
      <c r="D303" s="716" t="s">
        <v>868</v>
      </c>
      <c r="E303" s="724" t="s">
        <v>725</v>
      </c>
      <c r="F303" s="725" t="s">
        <v>809</v>
      </c>
      <c r="H303" s="726">
        <v>19.7</v>
      </c>
      <c r="K303" s="727"/>
      <c r="L303" s="722"/>
      <c r="M303" s="728"/>
      <c r="T303" s="729"/>
      <c r="AT303" s="724" t="s">
        <v>868</v>
      </c>
      <c r="AU303" s="724" t="s">
        <v>101</v>
      </c>
      <c r="AV303" s="723" t="s">
        <v>101</v>
      </c>
      <c r="AW303" s="723" t="s">
        <v>870</v>
      </c>
      <c r="AX303" s="723" t="s">
        <v>301</v>
      </c>
      <c r="AY303" s="724" t="s">
        <v>863</v>
      </c>
    </row>
    <row r="304" spans="2:65" s="723" customFormat="1" ht="11.4" x14ac:dyDescent="0.25">
      <c r="B304" s="722"/>
      <c r="D304" s="716" t="s">
        <v>868</v>
      </c>
      <c r="E304" s="724" t="s">
        <v>725</v>
      </c>
      <c r="F304" s="725" t="s">
        <v>814</v>
      </c>
      <c r="H304" s="726">
        <v>11.82</v>
      </c>
      <c r="K304" s="727"/>
      <c r="L304" s="722"/>
      <c r="M304" s="728"/>
      <c r="T304" s="729"/>
      <c r="AT304" s="724" t="s">
        <v>868</v>
      </c>
      <c r="AU304" s="724" t="s">
        <v>101</v>
      </c>
      <c r="AV304" s="723" t="s">
        <v>101</v>
      </c>
      <c r="AW304" s="723" t="s">
        <v>870</v>
      </c>
      <c r="AX304" s="723" t="s">
        <v>301</v>
      </c>
      <c r="AY304" s="724" t="s">
        <v>863</v>
      </c>
    </row>
    <row r="305" spans="2:65" s="723" customFormat="1" ht="11.4" x14ac:dyDescent="0.25">
      <c r="B305" s="722"/>
      <c r="D305" s="716" t="s">
        <v>868</v>
      </c>
      <c r="E305" s="724" t="s">
        <v>725</v>
      </c>
      <c r="F305" s="725" t="s">
        <v>759</v>
      </c>
      <c r="H305" s="726">
        <v>30.16</v>
      </c>
      <c r="K305" s="727"/>
      <c r="L305" s="722"/>
      <c r="M305" s="728"/>
      <c r="T305" s="729"/>
      <c r="AT305" s="724" t="s">
        <v>868</v>
      </c>
      <c r="AU305" s="724" t="s">
        <v>101</v>
      </c>
      <c r="AV305" s="723" t="s">
        <v>101</v>
      </c>
      <c r="AW305" s="723" t="s">
        <v>870</v>
      </c>
      <c r="AX305" s="723" t="s">
        <v>301</v>
      </c>
      <c r="AY305" s="724" t="s">
        <v>863</v>
      </c>
    </row>
    <row r="306" spans="2:65" s="723" customFormat="1" ht="11.4" x14ac:dyDescent="0.25">
      <c r="B306" s="722"/>
      <c r="D306" s="716" t="s">
        <v>868</v>
      </c>
      <c r="E306" s="724" t="s">
        <v>725</v>
      </c>
      <c r="F306" s="725" t="s">
        <v>818</v>
      </c>
      <c r="H306" s="726">
        <v>8.14</v>
      </c>
      <c r="K306" s="727"/>
      <c r="L306" s="722"/>
      <c r="M306" s="728"/>
      <c r="T306" s="729"/>
      <c r="AT306" s="724" t="s">
        <v>868</v>
      </c>
      <c r="AU306" s="724" t="s">
        <v>101</v>
      </c>
      <c r="AV306" s="723" t="s">
        <v>101</v>
      </c>
      <c r="AW306" s="723" t="s">
        <v>870</v>
      </c>
      <c r="AX306" s="723" t="s">
        <v>301</v>
      </c>
      <c r="AY306" s="724" t="s">
        <v>863</v>
      </c>
    </row>
    <row r="307" spans="2:65" s="723" customFormat="1" ht="11.4" x14ac:dyDescent="0.25">
      <c r="B307" s="722"/>
      <c r="D307" s="716" t="s">
        <v>868</v>
      </c>
      <c r="E307" s="724" t="s">
        <v>725</v>
      </c>
      <c r="F307" s="725" t="s">
        <v>775</v>
      </c>
      <c r="H307" s="726">
        <v>39.49</v>
      </c>
      <c r="K307" s="727"/>
      <c r="L307" s="722"/>
      <c r="M307" s="728"/>
      <c r="T307" s="729"/>
      <c r="AT307" s="724" t="s">
        <v>868</v>
      </c>
      <c r="AU307" s="724" t="s">
        <v>101</v>
      </c>
      <c r="AV307" s="723" t="s">
        <v>101</v>
      </c>
      <c r="AW307" s="723" t="s">
        <v>870</v>
      </c>
      <c r="AX307" s="723" t="s">
        <v>301</v>
      </c>
      <c r="AY307" s="724" t="s">
        <v>863</v>
      </c>
    </row>
    <row r="308" spans="2:65" s="723" customFormat="1" ht="11.4" x14ac:dyDescent="0.25">
      <c r="B308" s="722"/>
      <c r="D308" s="716" t="s">
        <v>868</v>
      </c>
      <c r="E308" s="724" t="s">
        <v>725</v>
      </c>
      <c r="F308" s="725" t="s">
        <v>779</v>
      </c>
      <c r="H308" s="726">
        <v>21.36</v>
      </c>
      <c r="K308" s="727"/>
      <c r="L308" s="722"/>
      <c r="M308" s="728"/>
      <c r="T308" s="729"/>
      <c r="AT308" s="724" t="s">
        <v>868</v>
      </c>
      <c r="AU308" s="724" t="s">
        <v>101</v>
      </c>
      <c r="AV308" s="723" t="s">
        <v>101</v>
      </c>
      <c r="AW308" s="723" t="s">
        <v>870</v>
      </c>
      <c r="AX308" s="723" t="s">
        <v>301</v>
      </c>
      <c r="AY308" s="724" t="s">
        <v>863</v>
      </c>
    </row>
    <row r="309" spans="2:65" s="723" customFormat="1" ht="11.4" x14ac:dyDescent="0.25">
      <c r="B309" s="722"/>
      <c r="D309" s="716" t="s">
        <v>868</v>
      </c>
      <c r="E309" s="724" t="s">
        <v>725</v>
      </c>
      <c r="F309" s="725" t="s">
        <v>782</v>
      </c>
      <c r="H309" s="726">
        <v>8.18</v>
      </c>
      <c r="K309" s="727"/>
      <c r="L309" s="722"/>
      <c r="M309" s="728"/>
      <c r="T309" s="729"/>
      <c r="AT309" s="724" t="s">
        <v>868</v>
      </c>
      <c r="AU309" s="724" t="s">
        <v>101</v>
      </c>
      <c r="AV309" s="723" t="s">
        <v>101</v>
      </c>
      <c r="AW309" s="723" t="s">
        <v>870</v>
      </c>
      <c r="AX309" s="723" t="s">
        <v>301</v>
      </c>
      <c r="AY309" s="724" t="s">
        <v>863</v>
      </c>
    </row>
    <row r="310" spans="2:65" s="731" customFormat="1" ht="11.4" x14ac:dyDescent="0.25">
      <c r="B310" s="730"/>
      <c r="D310" s="716" t="s">
        <v>868</v>
      </c>
      <c r="E310" s="732" t="s">
        <v>725</v>
      </c>
      <c r="F310" s="733" t="s">
        <v>873</v>
      </c>
      <c r="H310" s="734">
        <v>724.48500000000001</v>
      </c>
      <c r="K310" s="735"/>
      <c r="L310" s="730"/>
      <c r="M310" s="736"/>
      <c r="T310" s="737"/>
      <c r="AT310" s="732" t="s">
        <v>868</v>
      </c>
      <c r="AU310" s="732" t="s">
        <v>101</v>
      </c>
      <c r="AV310" s="731" t="s">
        <v>103</v>
      </c>
      <c r="AW310" s="731" t="s">
        <v>870</v>
      </c>
      <c r="AX310" s="731" t="s">
        <v>99</v>
      </c>
      <c r="AY310" s="732" t="s">
        <v>863</v>
      </c>
    </row>
    <row r="311" spans="2:65" s="163" customFormat="1" ht="14.4" customHeight="1" x14ac:dyDescent="0.25">
      <c r="B311" s="702"/>
      <c r="C311" s="703" t="s">
        <v>1034</v>
      </c>
      <c r="D311" s="703" t="s">
        <v>864</v>
      </c>
      <c r="E311" s="704" t="s">
        <v>1035</v>
      </c>
      <c r="F311" s="705" t="s">
        <v>1036</v>
      </c>
      <c r="G311" s="706" t="s">
        <v>15</v>
      </c>
      <c r="H311" s="707">
        <v>21.36</v>
      </c>
      <c r="I311" s="708"/>
      <c r="J311" s="708">
        <f>ROUND(I311*H311,2)</f>
        <v>0</v>
      </c>
      <c r="K311" s="705" t="s">
        <v>2622</v>
      </c>
      <c r="L311" s="164"/>
      <c r="M311" s="709" t="s">
        <v>725</v>
      </c>
      <c r="N311" s="710" t="s">
        <v>813</v>
      </c>
      <c r="O311" s="711">
        <v>2.5999999999999999E-2</v>
      </c>
      <c r="P311" s="711">
        <f>O311*H311</f>
        <v>0.55535999999999996</v>
      </c>
      <c r="Q311" s="711">
        <v>0</v>
      </c>
      <c r="R311" s="711">
        <f>Q311*H311</f>
        <v>0</v>
      </c>
      <c r="S311" s="711">
        <v>0</v>
      </c>
      <c r="T311" s="712">
        <f>S311*H311</f>
        <v>0</v>
      </c>
      <c r="AR311" s="668" t="s">
        <v>103</v>
      </c>
      <c r="AT311" s="668" t="s">
        <v>864</v>
      </c>
      <c r="AU311" s="668" t="s">
        <v>101</v>
      </c>
      <c r="AY311" s="157" t="s">
        <v>863</v>
      </c>
      <c r="BE311" s="713">
        <f>IF(N311="základní",J311,0)</f>
        <v>0</v>
      </c>
      <c r="BF311" s="713">
        <f>IF(N311="snížená",J311,0)</f>
        <v>0</v>
      </c>
      <c r="BG311" s="713">
        <f>IF(N311="zákl. přenesená",J311,0)</f>
        <v>0</v>
      </c>
      <c r="BH311" s="713">
        <f>IF(N311="sníž. přenesená",J311,0)</f>
        <v>0</v>
      </c>
      <c r="BI311" s="713">
        <f>IF(N311="nulová",J311,0)</f>
        <v>0</v>
      </c>
      <c r="BJ311" s="157" t="s">
        <v>99</v>
      </c>
      <c r="BK311" s="713">
        <f>ROUND(I311*H311,2)</f>
        <v>0</v>
      </c>
      <c r="BL311" s="157" t="s">
        <v>103</v>
      </c>
      <c r="BM311" s="668" t="s">
        <v>1037</v>
      </c>
    </row>
    <row r="312" spans="2:65" s="715" customFormat="1" ht="11.4" x14ac:dyDescent="0.25">
      <c r="B312" s="714"/>
      <c r="D312" s="716" t="s">
        <v>868</v>
      </c>
      <c r="E312" s="717" t="s">
        <v>725</v>
      </c>
      <c r="F312" s="718" t="s">
        <v>881</v>
      </c>
      <c r="H312" s="717" t="s">
        <v>725</v>
      </c>
      <c r="K312" s="719"/>
      <c r="L312" s="714"/>
      <c r="M312" s="720"/>
      <c r="T312" s="721"/>
      <c r="AT312" s="717" t="s">
        <v>868</v>
      </c>
      <c r="AU312" s="717" t="s">
        <v>101</v>
      </c>
      <c r="AV312" s="715" t="s">
        <v>99</v>
      </c>
      <c r="AW312" s="715" t="s">
        <v>870</v>
      </c>
      <c r="AX312" s="715" t="s">
        <v>301</v>
      </c>
      <c r="AY312" s="717" t="s">
        <v>863</v>
      </c>
    </row>
    <row r="313" spans="2:65" s="715" customFormat="1" ht="11.4" x14ac:dyDescent="0.25">
      <c r="B313" s="714"/>
      <c r="D313" s="716" t="s">
        <v>868</v>
      </c>
      <c r="E313" s="717" t="s">
        <v>725</v>
      </c>
      <c r="F313" s="718" t="s">
        <v>869</v>
      </c>
      <c r="H313" s="717" t="s">
        <v>725</v>
      </c>
      <c r="K313" s="719"/>
      <c r="L313" s="714"/>
      <c r="M313" s="720"/>
      <c r="T313" s="721"/>
      <c r="AT313" s="717" t="s">
        <v>868</v>
      </c>
      <c r="AU313" s="717" t="s">
        <v>101</v>
      </c>
      <c r="AV313" s="715" t="s">
        <v>99</v>
      </c>
      <c r="AW313" s="715" t="s">
        <v>870</v>
      </c>
      <c r="AX313" s="715" t="s">
        <v>301</v>
      </c>
      <c r="AY313" s="717" t="s">
        <v>863</v>
      </c>
    </row>
    <row r="314" spans="2:65" s="715" customFormat="1" ht="11.4" x14ac:dyDescent="0.25">
      <c r="B314" s="714"/>
      <c r="D314" s="716" t="s">
        <v>868</v>
      </c>
      <c r="E314" s="717" t="s">
        <v>725</v>
      </c>
      <c r="F314" s="718" t="s">
        <v>887</v>
      </c>
      <c r="H314" s="717" t="s">
        <v>725</v>
      </c>
      <c r="K314" s="719"/>
      <c r="L314" s="714"/>
      <c r="M314" s="720"/>
      <c r="T314" s="721"/>
      <c r="AT314" s="717" t="s">
        <v>868</v>
      </c>
      <c r="AU314" s="717" t="s">
        <v>101</v>
      </c>
      <c r="AV314" s="715" t="s">
        <v>99</v>
      </c>
      <c r="AW314" s="715" t="s">
        <v>870</v>
      </c>
      <c r="AX314" s="715" t="s">
        <v>301</v>
      </c>
      <c r="AY314" s="717" t="s">
        <v>863</v>
      </c>
    </row>
    <row r="315" spans="2:65" s="715" customFormat="1" ht="11.4" x14ac:dyDescent="0.25">
      <c r="B315" s="714"/>
      <c r="D315" s="716" t="s">
        <v>868</v>
      </c>
      <c r="E315" s="717" t="s">
        <v>725</v>
      </c>
      <c r="F315" s="718" t="s">
        <v>888</v>
      </c>
      <c r="H315" s="717" t="s">
        <v>725</v>
      </c>
      <c r="K315" s="719"/>
      <c r="L315" s="714"/>
      <c r="M315" s="720"/>
      <c r="T315" s="721"/>
      <c r="AT315" s="717" t="s">
        <v>868</v>
      </c>
      <c r="AU315" s="717" t="s">
        <v>101</v>
      </c>
      <c r="AV315" s="715" t="s">
        <v>99</v>
      </c>
      <c r="AW315" s="715" t="s">
        <v>870</v>
      </c>
      <c r="AX315" s="715" t="s">
        <v>301</v>
      </c>
      <c r="AY315" s="717" t="s">
        <v>863</v>
      </c>
    </row>
    <row r="316" spans="2:65" s="723" customFormat="1" ht="11.4" x14ac:dyDescent="0.25">
      <c r="B316" s="722"/>
      <c r="D316" s="716" t="s">
        <v>868</v>
      </c>
      <c r="E316" s="724" t="s">
        <v>725</v>
      </c>
      <c r="F316" s="725" t="s">
        <v>779</v>
      </c>
      <c r="H316" s="726">
        <v>21.36</v>
      </c>
      <c r="K316" s="727"/>
      <c r="L316" s="722"/>
      <c r="M316" s="728"/>
      <c r="T316" s="729"/>
      <c r="AT316" s="724" t="s">
        <v>868</v>
      </c>
      <c r="AU316" s="724" t="s">
        <v>101</v>
      </c>
      <c r="AV316" s="723" t="s">
        <v>101</v>
      </c>
      <c r="AW316" s="723" t="s">
        <v>870</v>
      </c>
      <c r="AX316" s="723" t="s">
        <v>301</v>
      </c>
      <c r="AY316" s="724" t="s">
        <v>863</v>
      </c>
    </row>
    <row r="317" spans="2:65" s="731" customFormat="1" ht="11.4" x14ac:dyDescent="0.25">
      <c r="B317" s="730"/>
      <c r="D317" s="716" t="s">
        <v>868</v>
      </c>
      <c r="E317" s="732" t="s">
        <v>725</v>
      </c>
      <c r="F317" s="733" t="s">
        <v>873</v>
      </c>
      <c r="H317" s="734">
        <v>21.36</v>
      </c>
      <c r="K317" s="735"/>
      <c r="L317" s="730"/>
      <c r="M317" s="736"/>
      <c r="T317" s="737"/>
      <c r="AT317" s="732" t="s">
        <v>868</v>
      </c>
      <c r="AU317" s="732" t="s">
        <v>101</v>
      </c>
      <c r="AV317" s="731" t="s">
        <v>103</v>
      </c>
      <c r="AW317" s="731" t="s">
        <v>870</v>
      </c>
      <c r="AX317" s="731" t="s">
        <v>99</v>
      </c>
      <c r="AY317" s="732" t="s">
        <v>863</v>
      </c>
    </row>
    <row r="318" spans="2:65" s="163" customFormat="1" ht="14.4" customHeight="1" x14ac:dyDescent="0.25">
      <c r="B318" s="702"/>
      <c r="C318" s="703" t="s">
        <v>1038</v>
      </c>
      <c r="D318" s="703" t="s">
        <v>864</v>
      </c>
      <c r="E318" s="704" t="s">
        <v>1039</v>
      </c>
      <c r="F318" s="705" t="s">
        <v>1040</v>
      </c>
      <c r="G318" s="706" t="s">
        <v>15</v>
      </c>
      <c r="H318" s="707">
        <v>469.92</v>
      </c>
      <c r="I318" s="708"/>
      <c r="J318" s="708">
        <f>ROUND(I318*H318,2)</f>
        <v>0</v>
      </c>
      <c r="K318" s="705" t="s">
        <v>2622</v>
      </c>
      <c r="L318" s="164"/>
      <c r="M318" s="709" t="s">
        <v>725</v>
      </c>
      <c r="N318" s="710" t="s">
        <v>813</v>
      </c>
      <c r="O318" s="711">
        <v>2.9000000000000001E-2</v>
      </c>
      <c r="P318" s="711">
        <f>O318*H318</f>
        <v>13.627680000000002</v>
      </c>
      <c r="Q318" s="711">
        <v>0</v>
      </c>
      <c r="R318" s="711">
        <f>Q318*H318</f>
        <v>0</v>
      </c>
      <c r="S318" s="711">
        <v>0</v>
      </c>
      <c r="T318" s="712">
        <f>S318*H318</f>
        <v>0</v>
      </c>
      <c r="AR318" s="668" t="s">
        <v>103</v>
      </c>
      <c r="AT318" s="668" t="s">
        <v>864</v>
      </c>
      <c r="AU318" s="668" t="s">
        <v>101</v>
      </c>
      <c r="AY318" s="157" t="s">
        <v>863</v>
      </c>
      <c r="BE318" s="713">
        <f>IF(N318="základní",J318,0)</f>
        <v>0</v>
      </c>
      <c r="BF318" s="713">
        <f>IF(N318="snížená",J318,0)</f>
        <v>0</v>
      </c>
      <c r="BG318" s="713">
        <f>IF(N318="zákl. přenesená",J318,0)</f>
        <v>0</v>
      </c>
      <c r="BH318" s="713">
        <f>IF(N318="sníž. přenesená",J318,0)</f>
        <v>0</v>
      </c>
      <c r="BI318" s="713">
        <f>IF(N318="nulová",J318,0)</f>
        <v>0</v>
      </c>
      <c r="BJ318" s="157" t="s">
        <v>99</v>
      </c>
      <c r="BK318" s="713">
        <f>ROUND(I318*H318,2)</f>
        <v>0</v>
      </c>
      <c r="BL318" s="157" t="s">
        <v>103</v>
      </c>
      <c r="BM318" s="668" t="s">
        <v>1041</v>
      </c>
    </row>
    <row r="319" spans="2:65" s="715" customFormat="1" ht="11.4" x14ac:dyDescent="0.25">
      <c r="B319" s="714"/>
      <c r="D319" s="716" t="s">
        <v>868</v>
      </c>
      <c r="E319" s="717" t="s">
        <v>725</v>
      </c>
      <c r="F319" s="718" t="s">
        <v>881</v>
      </c>
      <c r="H319" s="717" t="s">
        <v>725</v>
      </c>
      <c r="K319" s="719"/>
      <c r="L319" s="714"/>
      <c r="M319" s="720"/>
      <c r="T319" s="721"/>
      <c r="AT319" s="717" t="s">
        <v>868</v>
      </c>
      <c r="AU319" s="717" t="s">
        <v>101</v>
      </c>
      <c r="AV319" s="715" t="s">
        <v>99</v>
      </c>
      <c r="AW319" s="715" t="s">
        <v>870</v>
      </c>
      <c r="AX319" s="715" t="s">
        <v>301</v>
      </c>
      <c r="AY319" s="717" t="s">
        <v>863</v>
      </c>
    </row>
    <row r="320" spans="2:65" s="715" customFormat="1" ht="11.4" x14ac:dyDescent="0.25">
      <c r="B320" s="714"/>
      <c r="D320" s="716" t="s">
        <v>868</v>
      </c>
      <c r="E320" s="717" t="s">
        <v>725</v>
      </c>
      <c r="F320" s="718" t="s">
        <v>869</v>
      </c>
      <c r="H320" s="717" t="s">
        <v>725</v>
      </c>
      <c r="K320" s="719"/>
      <c r="L320" s="714"/>
      <c r="M320" s="720"/>
      <c r="T320" s="721"/>
      <c r="AT320" s="717" t="s">
        <v>868</v>
      </c>
      <c r="AU320" s="717" t="s">
        <v>101</v>
      </c>
      <c r="AV320" s="715" t="s">
        <v>99</v>
      </c>
      <c r="AW320" s="715" t="s">
        <v>870</v>
      </c>
      <c r="AX320" s="715" t="s">
        <v>301</v>
      </c>
      <c r="AY320" s="717" t="s">
        <v>863</v>
      </c>
    </row>
    <row r="321" spans="2:65" s="715" customFormat="1" ht="11.4" x14ac:dyDescent="0.25">
      <c r="B321" s="714"/>
      <c r="D321" s="716" t="s">
        <v>868</v>
      </c>
      <c r="E321" s="717" t="s">
        <v>725</v>
      </c>
      <c r="F321" s="718" t="s">
        <v>887</v>
      </c>
      <c r="H321" s="717" t="s">
        <v>725</v>
      </c>
      <c r="K321" s="719"/>
      <c r="L321" s="714"/>
      <c r="M321" s="720"/>
      <c r="T321" s="721"/>
      <c r="AT321" s="717" t="s">
        <v>868</v>
      </c>
      <c r="AU321" s="717" t="s">
        <v>101</v>
      </c>
      <c r="AV321" s="715" t="s">
        <v>99</v>
      </c>
      <c r="AW321" s="715" t="s">
        <v>870</v>
      </c>
      <c r="AX321" s="715" t="s">
        <v>301</v>
      </c>
      <c r="AY321" s="717" t="s">
        <v>863</v>
      </c>
    </row>
    <row r="322" spans="2:65" s="715" customFormat="1" ht="11.4" x14ac:dyDescent="0.25">
      <c r="B322" s="714"/>
      <c r="D322" s="716" t="s">
        <v>868</v>
      </c>
      <c r="E322" s="717" t="s">
        <v>725</v>
      </c>
      <c r="F322" s="718" t="s">
        <v>888</v>
      </c>
      <c r="H322" s="717" t="s">
        <v>725</v>
      </c>
      <c r="K322" s="719"/>
      <c r="L322" s="714"/>
      <c r="M322" s="720"/>
      <c r="T322" s="721"/>
      <c r="AT322" s="717" t="s">
        <v>868</v>
      </c>
      <c r="AU322" s="717" t="s">
        <v>101</v>
      </c>
      <c r="AV322" s="715" t="s">
        <v>99</v>
      </c>
      <c r="AW322" s="715" t="s">
        <v>870</v>
      </c>
      <c r="AX322" s="715" t="s">
        <v>301</v>
      </c>
      <c r="AY322" s="717" t="s">
        <v>863</v>
      </c>
    </row>
    <row r="323" spans="2:65" s="723" customFormat="1" ht="11.4" x14ac:dyDescent="0.25">
      <c r="B323" s="722"/>
      <c r="D323" s="716" t="s">
        <v>868</v>
      </c>
      <c r="E323" s="724" t="s">
        <v>725</v>
      </c>
      <c r="F323" s="725" t="s">
        <v>714</v>
      </c>
      <c r="H323" s="726">
        <v>368.67</v>
      </c>
      <c r="K323" s="727"/>
      <c r="L323" s="722"/>
      <c r="M323" s="728"/>
      <c r="T323" s="729"/>
      <c r="AT323" s="724" t="s">
        <v>868</v>
      </c>
      <c r="AU323" s="724" t="s">
        <v>101</v>
      </c>
      <c r="AV323" s="723" t="s">
        <v>101</v>
      </c>
      <c r="AW323" s="723" t="s">
        <v>870</v>
      </c>
      <c r="AX323" s="723" t="s">
        <v>301</v>
      </c>
      <c r="AY323" s="724" t="s">
        <v>863</v>
      </c>
    </row>
    <row r="324" spans="2:65" s="723" customFormat="1" ht="11.4" x14ac:dyDescent="0.25">
      <c r="B324" s="722"/>
      <c r="D324" s="716" t="s">
        <v>868</v>
      </c>
      <c r="E324" s="724" t="s">
        <v>725</v>
      </c>
      <c r="F324" s="725" t="s">
        <v>786</v>
      </c>
      <c r="H324" s="726">
        <v>10.43</v>
      </c>
      <c r="K324" s="727"/>
      <c r="L324" s="722"/>
      <c r="M324" s="728"/>
      <c r="T324" s="729"/>
      <c r="AT324" s="724" t="s">
        <v>868</v>
      </c>
      <c r="AU324" s="724" t="s">
        <v>101</v>
      </c>
      <c r="AV324" s="723" t="s">
        <v>101</v>
      </c>
      <c r="AW324" s="723" t="s">
        <v>870</v>
      </c>
      <c r="AX324" s="723" t="s">
        <v>301</v>
      </c>
      <c r="AY324" s="724" t="s">
        <v>863</v>
      </c>
    </row>
    <row r="325" spans="2:65" s="723" customFormat="1" ht="11.4" x14ac:dyDescent="0.25">
      <c r="B325" s="722"/>
      <c r="D325" s="716" t="s">
        <v>868</v>
      </c>
      <c r="E325" s="724" t="s">
        <v>725</v>
      </c>
      <c r="F325" s="725" t="s">
        <v>790</v>
      </c>
      <c r="H325" s="726">
        <v>2.4500000000000002</v>
      </c>
      <c r="K325" s="727"/>
      <c r="L325" s="722"/>
      <c r="M325" s="728"/>
      <c r="T325" s="729"/>
      <c r="AT325" s="724" t="s">
        <v>868</v>
      </c>
      <c r="AU325" s="724" t="s">
        <v>101</v>
      </c>
      <c r="AV325" s="723" t="s">
        <v>101</v>
      </c>
      <c r="AW325" s="723" t="s">
        <v>870</v>
      </c>
      <c r="AX325" s="723" t="s">
        <v>301</v>
      </c>
      <c r="AY325" s="724" t="s">
        <v>863</v>
      </c>
    </row>
    <row r="326" spans="2:65" s="723" customFormat="1" ht="11.4" x14ac:dyDescent="0.25">
      <c r="B326" s="722"/>
      <c r="D326" s="716" t="s">
        <v>868</v>
      </c>
      <c r="E326" s="724" t="s">
        <v>725</v>
      </c>
      <c r="F326" s="725" t="s">
        <v>710</v>
      </c>
      <c r="H326" s="726">
        <v>63.62</v>
      </c>
      <c r="K326" s="727"/>
      <c r="L326" s="722"/>
      <c r="M326" s="728"/>
      <c r="T326" s="729"/>
      <c r="AT326" s="724" t="s">
        <v>868</v>
      </c>
      <c r="AU326" s="724" t="s">
        <v>101</v>
      </c>
      <c r="AV326" s="723" t="s">
        <v>101</v>
      </c>
      <c r="AW326" s="723" t="s">
        <v>870</v>
      </c>
      <c r="AX326" s="723" t="s">
        <v>301</v>
      </c>
      <c r="AY326" s="724" t="s">
        <v>863</v>
      </c>
    </row>
    <row r="327" spans="2:65" s="723" customFormat="1" ht="11.4" x14ac:dyDescent="0.25">
      <c r="B327" s="722"/>
      <c r="D327" s="716" t="s">
        <v>868</v>
      </c>
      <c r="E327" s="724" t="s">
        <v>725</v>
      </c>
      <c r="F327" s="725" t="s">
        <v>707</v>
      </c>
      <c r="H327" s="726">
        <v>24.75</v>
      </c>
      <c r="K327" s="727"/>
      <c r="L327" s="722"/>
      <c r="M327" s="728"/>
      <c r="T327" s="729"/>
      <c r="AT327" s="724" t="s">
        <v>868</v>
      </c>
      <c r="AU327" s="724" t="s">
        <v>101</v>
      </c>
      <c r="AV327" s="723" t="s">
        <v>101</v>
      </c>
      <c r="AW327" s="723" t="s">
        <v>870</v>
      </c>
      <c r="AX327" s="723" t="s">
        <v>301</v>
      </c>
      <c r="AY327" s="724" t="s">
        <v>863</v>
      </c>
    </row>
    <row r="328" spans="2:65" s="731" customFormat="1" ht="11.4" x14ac:dyDescent="0.25">
      <c r="B328" s="730"/>
      <c r="D328" s="716" t="s">
        <v>868</v>
      </c>
      <c r="E328" s="732" t="s">
        <v>725</v>
      </c>
      <c r="F328" s="733" t="s">
        <v>873</v>
      </c>
      <c r="H328" s="734">
        <v>469.92</v>
      </c>
      <c r="K328" s="735"/>
      <c r="L328" s="730"/>
      <c r="M328" s="736"/>
      <c r="T328" s="737"/>
      <c r="AT328" s="732" t="s">
        <v>868</v>
      </c>
      <c r="AU328" s="732" t="s">
        <v>101</v>
      </c>
      <c r="AV328" s="731" t="s">
        <v>103</v>
      </c>
      <c r="AW328" s="731" t="s">
        <v>870</v>
      </c>
      <c r="AX328" s="731" t="s">
        <v>99</v>
      </c>
      <c r="AY328" s="732" t="s">
        <v>863</v>
      </c>
    </row>
    <row r="329" spans="2:65" s="163" customFormat="1" ht="14.4" customHeight="1" x14ac:dyDescent="0.25">
      <c r="B329" s="702"/>
      <c r="C329" s="703" t="s">
        <v>1042</v>
      </c>
      <c r="D329" s="703" t="s">
        <v>864</v>
      </c>
      <c r="E329" s="704" t="s">
        <v>1043</v>
      </c>
      <c r="F329" s="705" t="s">
        <v>1044</v>
      </c>
      <c r="G329" s="706" t="s">
        <v>15</v>
      </c>
      <c r="H329" s="707">
        <v>33.49</v>
      </c>
      <c r="I329" s="708"/>
      <c r="J329" s="708">
        <f>ROUND(I329*H329,2)</f>
        <v>0</v>
      </c>
      <c r="K329" s="705" t="s">
        <v>2622</v>
      </c>
      <c r="L329" s="164"/>
      <c r="M329" s="709" t="s">
        <v>725</v>
      </c>
      <c r="N329" s="710" t="s">
        <v>813</v>
      </c>
      <c r="O329" s="711">
        <v>0.03</v>
      </c>
      <c r="P329" s="711">
        <f>O329*H329</f>
        <v>1.0046999999999999</v>
      </c>
      <c r="Q329" s="711">
        <v>0</v>
      </c>
      <c r="R329" s="711">
        <f>Q329*H329</f>
        <v>0</v>
      </c>
      <c r="S329" s="711">
        <v>0</v>
      </c>
      <c r="T329" s="712">
        <f>S329*H329</f>
        <v>0</v>
      </c>
      <c r="AR329" s="668" t="s">
        <v>103</v>
      </c>
      <c r="AT329" s="668" t="s">
        <v>864</v>
      </c>
      <c r="AU329" s="668" t="s">
        <v>101</v>
      </c>
      <c r="AY329" s="157" t="s">
        <v>863</v>
      </c>
      <c r="BE329" s="713">
        <f>IF(N329="základní",J329,0)</f>
        <v>0</v>
      </c>
      <c r="BF329" s="713">
        <f>IF(N329="snížená",J329,0)</f>
        <v>0</v>
      </c>
      <c r="BG329" s="713">
        <f>IF(N329="zákl. přenesená",J329,0)</f>
        <v>0</v>
      </c>
      <c r="BH329" s="713">
        <f>IF(N329="sníž. přenesená",J329,0)</f>
        <v>0</v>
      </c>
      <c r="BI329" s="713">
        <f>IF(N329="nulová",J329,0)</f>
        <v>0</v>
      </c>
      <c r="BJ329" s="157" t="s">
        <v>99</v>
      </c>
      <c r="BK329" s="713">
        <f>ROUND(I329*H329,2)</f>
        <v>0</v>
      </c>
      <c r="BL329" s="157" t="s">
        <v>103</v>
      </c>
      <c r="BM329" s="668" t="s">
        <v>1045</v>
      </c>
    </row>
    <row r="330" spans="2:65" s="715" customFormat="1" ht="11.4" x14ac:dyDescent="0.25">
      <c r="B330" s="714"/>
      <c r="D330" s="716" t="s">
        <v>868</v>
      </c>
      <c r="E330" s="717" t="s">
        <v>725</v>
      </c>
      <c r="F330" s="718" t="s">
        <v>881</v>
      </c>
      <c r="H330" s="717" t="s">
        <v>725</v>
      </c>
      <c r="K330" s="719"/>
      <c r="L330" s="714"/>
      <c r="M330" s="720"/>
      <c r="T330" s="721"/>
      <c r="AT330" s="717" t="s">
        <v>868</v>
      </c>
      <c r="AU330" s="717" t="s">
        <v>101</v>
      </c>
      <c r="AV330" s="715" t="s">
        <v>99</v>
      </c>
      <c r="AW330" s="715" t="s">
        <v>870</v>
      </c>
      <c r="AX330" s="715" t="s">
        <v>301</v>
      </c>
      <c r="AY330" s="717" t="s">
        <v>863</v>
      </c>
    </row>
    <row r="331" spans="2:65" s="715" customFormat="1" ht="11.4" x14ac:dyDescent="0.25">
      <c r="B331" s="714"/>
      <c r="D331" s="716" t="s">
        <v>868</v>
      </c>
      <c r="E331" s="717" t="s">
        <v>725</v>
      </c>
      <c r="F331" s="718" t="s">
        <v>869</v>
      </c>
      <c r="H331" s="717" t="s">
        <v>725</v>
      </c>
      <c r="K331" s="719"/>
      <c r="L331" s="714"/>
      <c r="M331" s="720"/>
      <c r="T331" s="721"/>
      <c r="AT331" s="717" t="s">
        <v>868</v>
      </c>
      <c r="AU331" s="717" t="s">
        <v>101</v>
      </c>
      <c r="AV331" s="715" t="s">
        <v>99</v>
      </c>
      <c r="AW331" s="715" t="s">
        <v>870</v>
      </c>
      <c r="AX331" s="715" t="s">
        <v>301</v>
      </c>
      <c r="AY331" s="717" t="s">
        <v>863</v>
      </c>
    </row>
    <row r="332" spans="2:65" s="715" customFormat="1" ht="11.4" x14ac:dyDescent="0.25">
      <c r="B332" s="714"/>
      <c r="D332" s="716" t="s">
        <v>868</v>
      </c>
      <c r="E332" s="717" t="s">
        <v>725</v>
      </c>
      <c r="F332" s="718" t="s">
        <v>887</v>
      </c>
      <c r="H332" s="717" t="s">
        <v>725</v>
      </c>
      <c r="K332" s="719"/>
      <c r="L332" s="714"/>
      <c r="M332" s="720"/>
      <c r="T332" s="721"/>
      <c r="AT332" s="717" t="s">
        <v>868</v>
      </c>
      <c r="AU332" s="717" t="s">
        <v>101</v>
      </c>
      <c r="AV332" s="715" t="s">
        <v>99</v>
      </c>
      <c r="AW332" s="715" t="s">
        <v>870</v>
      </c>
      <c r="AX332" s="715" t="s">
        <v>301</v>
      </c>
      <c r="AY332" s="717" t="s">
        <v>863</v>
      </c>
    </row>
    <row r="333" spans="2:65" s="715" customFormat="1" ht="11.4" x14ac:dyDescent="0.25">
      <c r="B333" s="714"/>
      <c r="D333" s="716" t="s">
        <v>868</v>
      </c>
      <c r="E333" s="717" t="s">
        <v>725</v>
      </c>
      <c r="F333" s="718" t="s">
        <v>888</v>
      </c>
      <c r="H333" s="717" t="s">
        <v>725</v>
      </c>
      <c r="K333" s="719"/>
      <c r="L333" s="714"/>
      <c r="M333" s="720"/>
      <c r="T333" s="721"/>
      <c r="AT333" s="717" t="s">
        <v>868</v>
      </c>
      <c r="AU333" s="717" t="s">
        <v>101</v>
      </c>
      <c r="AV333" s="715" t="s">
        <v>99</v>
      </c>
      <c r="AW333" s="715" t="s">
        <v>870</v>
      </c>
      <c r="AX333" s="715" t="s">
        <v>301</v>
      </c>
      <c r="AY333" s="717" t="s">
        <v>863</v>
      </c>
    </row>
    <row r="334" spans="2:65" s="723" customFormat="1" ht="11.4" x14ac:dyDescent="0.25">
      <c r="B334" s="722"/>
      <c r="D334" s="716" t="s">
        <v>868</v>
      </c>
      <c r="E334" s="724" t="s">
        <v>725</v>
      </c>
      <c r="F334" s="725" t="s">
        <v>721</v>
      </c>
      <c r="H334" s="726">
        <v>33.49</v>
      </c>
      <c r="K334" s="727"/>
      <c r="L334" s="722"/>
      <c r="M334" s="728"/>
      <c r="T334" s="729"/>
      <c r="AT334" s="724" t="s">
        <v>868</v>
      </c>
      <c r="AU334" s="724" t="s">
        <v>101</v>
      </c>
      <c r="AV334" s="723" t="s">
        <v>101</v>
      </c>
      <c r="AW334" s="723" t="s">
        <v>870</v>
      </c>
      <c r="AX334" s="723" t="s">
        <v>301</v>
      </c>
      <c r="AY334" s="724" t="s">
        <v>863</v>
      </c>
    </row>
    <row r="335" spans="2:65" s="731" customFormat="1" ht="11.4" x14ac:dyDescent="0.25">
      <c r="B335" s="730"/>
      <c r="D335" s="716" t="s">
        <v>868</v>
      </c>
      <c r="E335" s="732" t="s">
        <v>725</v>
      </c>
      <c r="F335" s="733" t="s">
        <v>873</v>
      </c>
      <c r="H335" s="734">
        <v>33.49</v>
      </c>
      <c r="K335" s="735"/>
      <c r="L335" s="730"/>
      <c r="M335" s="736"/>
      <c r="T335" s="737"/>
      <c r="AT335" s="732" t="s">
        <v>868</v>
      </c>
      <c r="AU335" s="732" t="s">
        <v>101</v>
      </c>
      <c r="AV335" s="731" t="s">
        <v>103</v>
      </c>
      <c r="AW335" s="731" t="s">
        <v>870</v>
      </c>
      <c r="AX335" s="731" t="s">
        <v>99</v>
      </c>
      <c r="AY335" s="732" t="s">
        <v>863</v>
      </c>
    </row>
    <row r="336" spans="2:65" s="163" customFormat="1" ht="28.2" customHeight="1" x14ac:dyDescent="0.25">
      <c r="B336" s="702"/>
      <c r="C336" s="703" t="s">
        <v>1046</v>
      </c>
      <c r="D336" s="703" t="s">
        <v>864</v>
      </c>
      <c r="E336" s="704" t="s">
        <v>1047</v>
      </c>
      <c r="F336" s="705" t="s">
        <v>1048</v>
      </c>
      <c r="G336" s="706" t="s">
        <v>15</v>
      </c>
      <c r="H336" s="707">
        <v>33.49</v>
      </c>
      <c r="I336" s="708"/>
      <c r="J336" s="708">
        <f>ROUND(I336*H336,2)</f>
        <v>0</v>
      </c>
      <c r="K336" s="705" t="s">
        <v>2622</v>
      </c>
      <c r="L336" s="164"/>
      <c r="M336" s="709" t="s">
        <v>725</v>
      </c>
      <c r="N336" s="710" t="s">
        <v>813</v>
      </c>
      <c r="O336" s="711">
        <v>0.14899999999999999</v>
      </c>
      <c r="P336" s="711">
        <f>O336*H336</f>
        <v>4.9900099999999998</v>
      </c>
      <c r="Q336" s="711">
        <v>0</v>
      </c>
      <c r="R336" s="711">
        <f>Q336*H336</f>
        <v>0</v>
      </c>
      <c r="S336" s="711">
        <v>0</v>
      </c>
      <c r="T336" s="712">
        <f>S336*H336</f>
        <v>0</v>
      </c>
      <c r="AR336" s="668" t="s">
        <v>103</v>
      </c>
      <c r="AT336" s="668" t="s">
        <v>864</v>
      </c>
      <c r="AU336" s="668" t="s">
        <v>101</v>
      </c>
      <c r="AY336" s="157" t="s">
        <v>863</v>
      </c>
      <c r="BE336" s="713">
        <f>IF(N336="základní",J336,0)</f>
        <v>0</v>
      </c>
      <c r="BF336" s="713">
        <f>IF(N336="snížená",J336,0)</f>
        <v>0</v>
      </c>
      <c r="BG336" s="713">
        <f>IF(N336="zákl. přenesená",J336,0)</f>
        <v>0</v>
      </c>
      <c r="BH336" s="713">
        <f>IF(N336="sníž. přenesená",J336,0)</f>
        <v>0</v>
      </c>
      <c r="BI336" s="713">
        <f>IF(N336="nulová",J336,0)</f>
        <v>0</v>
      </c>
      <c r="BJ336" s="157" t="s">
        <v>99</v>
      </c>
      <c r="BK336" s="713">
        <f>ROUND(I336*H336,2)</f>
        <v>0</v>
      </c>
      <c r="BL336" s="157" t="s">
        <v>103</v>
      </c>
      <c r="BM336" s="668" t="s">
        <v>1049</v>
      </c>
    </row>
    <row r="337" spans="2:65" s="715" customFormat="1" ht="11.4" x14ac:dyDescent="0.25">
      <c r="B337" s="714"/>
      <c r="D337" s="716" t="s">
        <v>868</v>
      </c>
      <c r="E337" s="717" t="s">
        <v>725</v>
      </c>
      <c r="F337" s="718" t="s">
        <v>881</v>
      </c>
      <c r="H337" s="717" t="s">
        <v>725</v>
      </c>
      <c r="K337" s="719"/>
      <c r="L337" s="714"/>
      <c r="M337" s="720"/>
      <c r="T337" s="721"/>
      <c r="AT337" s="717" t="s">
        <v>868</v>
      </c>
      <c r="AU337" s="717" t="s">
        <v>101</v>
      </c>
      <c r="AV337" s="715" t="s">
        <v>99</v>
      </c>
      <c r="AW337" s="715" t="s">
        <v>870</v>
      </c>
      <c r="AX337" s="715" t="s">
        <v>301</v>
      </c>
      <c r="AY337" s="717" t="s">
        <v>863</v>
      </c>
    </row>
    <row r="338" spans="2:65" s="715" customFormat="1" ht="11.4" x14ac:dyDescent="0.25">
      <c r="B338" s="714"/>
      <c r="D338" s="716" t="s">
        <v>868</v>
      </c>
      <c r="E338" s="717" t="s">
        <v>725</v>
      </c>
      <c r="F338" s="718" t="s">
        <v>869</v>
      </c>
      <c r="H338" s="717" t="s">
        <v>725</v>
      </c>
      <c r="K338" s="719"/>
      <c r="L338" s="714"/>
      <c r="M338" s="720"/>
      <c r="T338" s="721"/>
      <c r="AT338" s="717" t="s">
        <v>868</v>
      </c>
      <c r="AU338" s="717" t="s">
        <v>101</v>
      </c>
      <c r="AV338" s="715" t="s">
        <v>99</v>
      </c>
      <c r="AW338" s="715" t="s">
        <v>870</v>
      </c>
      <c r="AX338" s="715" t="s">
        <v>301</v>
      </c>
      <c r="AY338" s="717" t="s">
        <v>863</v>
      </c>
    </row>
    <row r="339" spans="2:65" s="715" customFormat="1" ht="11.4" x14ac:dyDescent="0.25">
      <c r="B339" s="714"/>
      <c r="D339" s="716" t="s">
        <v>868</v>
      </c>
      <c r="E339" s="717" t="s">
        <v>725</v>
      </c>
      <c r="F339" s="718" t="s">
        <v>887</v>
      </c>
      <c r="H339" s="717" t="s">
        <v>725</v>
      </c>
      <c r="K339" s="719"/>
      <c r="L339" s="714"/>
      <c r="M339" s="720"/>
      <c r="T339" s="721"/>
      <c r="AT339" s="717" t="s">
        <v>868</v>
      </c>
      <c r="AU339" s="717" t="s">
        <v>101</v>
      </c>
      <c r="AV339" s="715" t="s">
        <v>99</v>
      </c>
      <c r="AW339" s="715" t="s">
        <v>870</v>
      </c>
      <c r="AX339" s="715" t="s">
        <v>301</v>
      </c>
      <c r="AY339" s="717" t="s">
        <v>863</v>
      </c>
    </row>
    <row r="340" spans="2:65" s="715" customFormat="1" ht="11.4" x14ac:dyDescent="0.25">
      <c r="B340" s="714"/>
      <c r="D340" s="716" t="s">
        <v>868</v>
      </c>
      <c r="E340" s="717" t="s">
        <v>725</v>
      </c>
      <c r="F340" s="718" t="s">
        <v>888</v>
      </c>
      <c r="H340" s="717" t="s">
        <v>725</v>
      </c>
      <c r="K340" s="719"/>
      <c r="L340" s="714"/>
      <c r="M340" s="720"/>
      <c r="T340" s="721"/>
      <c r="AT340" s="717" t="s">
        <v>868</v>
      </c>
      <c r="AU340" s="717" t="s">
        <v>101</v>
      </c>
      <c r="AV340" s="715" t="s">
        <v>99</v>
      </c>
      <c r="AW340" s="715" t="s">
        <v>870</v>
      </c>
      <c r="AX340" s="715" t="s">
        <v>301</v>
      </c>
      <c r="AY340" s="717" t="s">
        <v>863</v>
      </c>
    </row>
    <row r="341" spans="2:65" s="723" customFormat="1" ht="11.4" x14ac:dyDescent="0.25">
      <c r="B341" s="722"/>
      <c r="D341" s="716" t="s">
        <v>868</v>
      </c>
      <c r="E341" s="724" t="s">
        <v>725</v>
      </c>
      <c r="F341" s="725" t="s">
        <v>721</v>
      </c>
      <c r="H341" s="726">
        <v>33.49</v>
      </c>
      <c r="K341" s="727"/>
      <c r="L341" s="722"/>
      <c r="M341" s="728"/>
      <c r="T341" s="729"/>
      <c r="AT341" s="724" t="s">
        <v>868</v>
      </c>
      <c r="AU341" s="724" t="s">
        <v>101</v>
      </c>
      <c r="AV341" s="723" t="s">
        <v>101</v>
      </c>
      <c r="AW341" s="723" t="s">
        <v>870</v>
      </c>
      <c r="AX341" s="723" t="s">
        <v>301</v>
      </c>
      <c r="AY341" s="724" t="s">
        <v>863</v>
      </c>
    </row>
    <row r="342" spans="2:65" s="731" customFormat="1" ht="11.4" x14ac:dyDescent="0.25">
      <c r="B342" s="730"/>
      <c r="D342" s="716" t="s">
        <v>868</v>
      </c>
      <c r="E342" s="732" t="s">
        <v>725</v>
      </c>
      <c r="F342" s="733" t="s">
        <v>873</v>
      </c>
      <c r="H342" s="734">
        <v>33.49</v>
      </c>
      <c r="K342" s="735"/>
      <c r="L342" s="730"/>
      <c r="M342" s="736"/>
      <c r="T342" s="737"/>
      <c r="AT342" s="732" t="s">
        <v>868</v>
      </c>
      <c r="AU342" s="732" t="s">
        <v>101</v>
      </c>
      <c r="AV342" s="731" t="s">
        <v>103</v>
      </c>
      <c r="AW342" s="731" t="s">
        <v>870</v>
      </c>
      <c r="AX342" s="731" t="s">
        <v>99</v>
      </c>
      <c r="AY342" s="732" t="s">
        <v>863</v>
      </c>
    </row>
    <row r="343" spans="2:65" s="163" customFormat="1" ht="48.6" customHeight="1" x14ac:dyDescent="0.25">
      <c r="B343" s="702"/>
      <c r="C343" s="703" t="s">
        <v>1050</v>
      </c>
      <c r="D343" s="703" t="s">
        <v>864</v>
      </c>
      <c r="E343" s="704" t="s">
        <v>1051</v>
      </c>
      <c r="F343" s="705" t="s">
        <v>1052</v>
      </c>
      <c r="G343" s="706" t="s">
        <v>15</v>
      </c>
      <c r="H343" s="707">
        <v>110.86</v>
      </c>
      <c r="I343" s="708"/>
      <c r="J343" s="708">
        <f>ROUND(I343*H343,2)</f>
        <v>0</v>
      </c>
      <c r="K343" s="705" t="s">
        <v>2622</v>
      </c>
      <c r="L343" s="164"/>
      <c r="M343" s="709" t="s">
        <v>725</v>
      </c>
      <c r="N343" s="710" t="s">
        <v>813</v>
      </c>
      <c r="O343" s="711">
        <v>2.1000000000000001E-2</v>
      </c>
      <c r="P343" s="711">
        <f>O343*H343</f>
        <v>2.3280600000000002</v>
      </c>
      <c r="Q343" s="711">
        <v>9.8479999999999998E-2</v>
      </c>
      <c r="R343" s="711">
        <f>Q343*H343</f>
        <v>10.9174928</v>
      </c>
      <c r="S343" s="711">
        <v>0</v>
      </c>
      <c r="T343" s="712">
        <f>S343*H343</f>
        <v>0</v>
      </c>
      <c r="AR343" s="668" t="s">
        <v>103</v>
      </c>
      <c r="AT343" s="668" t="s">
        <v>864</v>
      </c>
      <c r="AU343" s="668" t="s">
        <v>101</v>
      </c>
      <c r="AY343" s="157" t="s">
        <v>863</v>
      </c>
      <c r="BE343" s="713">
        <f>IF(N343="základní",J343,0)</f>
        <v>0</v>
      </c>
      <c r="BF343" s="713">
        <f>IF(N343="snížená",J343,0)</f>
        <v>0</v>
      </c>
      <c r="BG343" s="713">
        <f>IF(N343="zákl. přenesená",J343,0)</f>
        <v>0</v>
      </c>
      <c r="BH343" s="713">
        <f>IF(N343="sníž. přenesená",J343,0)</f>
        <v>0</v>
      </c>
      <c r="BI343" s="713">
        <f>IF(N343="nulová",J343,0)</f>
        <v>0</v>
      </c>
      <c r="BJ343" s="157" t="s">
        <v>99</v>
      </c>
      <c r="BK343" s="713">
        <f>ROUND(I343*H343,2)</f>
        <v>0</v>
      </c>
      <c r="BL343" s="157" t="s">
        <v>103</v>
      </c>
      <c r="BM343" s="668" t="s">
        <v>1053</v>
      </c>
    </row>
    <row r="344" spans="2:65" s="715" customFormat="1" ht="11.4" x14ac:dyDescent="0.25">
      <c r="B344" s="714"/>
      <c r="D344" s="716" t="s">
        <v>868</v>
      </c>
      <c r="E344" s="717" t="s">
        <v>725</v>
      </c>
      <c r="F344" s="718" t="s">
        <v>881</v>
      </c>
      <c r="H344" s="717" t="s">
        <v>725</v>
      </c>
      <c r="K344" s="719"/>
      <c r="L344" s="714"/>
      <c r="M344" s="720"/>
      <c r="T344" s="721"/>
      <c r="AT344" s="717" t="s">
        <v>868</v>
      </c>
      <c r="AU344" s="717" t="s">
        <v>101</v>
      </c>
      <c r="AV344" s="715" t="s">
        <v>99</v>
      </c>
      <c r="AW344" s="715" t="s">
        <v>870</v>
      </c>
      <c r="AX344" s="715" t="s">
        <v>301</v>
      </c>
      <c r="AY344" s="717" t="s">
        <v>863</v>
      </c>
    </row>
    <row r="345" spans="2:65" s="715" customFormat="1" ht="11.4" x14ac:dyDescent="0.25">
      <c r="B345" s="714"/>
      <c r="D345" s="716" t="s">
        <v>868</v>
      </c>
      <c r="E345" s="717" t="s">
        <v>725</v>
      </c>
      <c r="F345" s="718" t="s">
        <v>869</v>
      </c>
      <c r="H345" s="717" t="s">
        <v>725</v>
      </c>
      <c r="K345" s="719"/>
      <c r="L345" s="714"/>
      <c r="M345" s="720"/>
      <c r="T345" s="721"/>
      <c r="AT345" s="717" t="s">
        <v>868</v>
      </c>
      <c r="AU345" s="717" t="s">
        <v>101</v>
      </c>
      <c r="AV345" s="715" t="s">
        <v>99</v>
      </c>
      <c r="AW345" s="715" t="s">
        <v>870</v>
      </c>
      <c r="AX345" s="715" t="s">
        <v>301</v>
      </c>
      <c r="AY345" s="717" t="s">
        <v>863</v>
      </c>
    </row>
    <row r="346" spans="2:65" s="715" customFormat="1" ht="11.4" x14ac:dyDescent="0.25">
      <c r="B346" s="714"/>
      <c r="D346" s="716" t="s">
        <v>868</v>
      </c>
      <c r="E346" s="717" t="s">
        <v>725</v>
      </c>
      <c r="F346" s="718" t="s">
        <v>887</v>
      </c>
      <c r="H346" s="717" t="s">
        <v>725</v>
      </c>
      <c r="K346" s="719"/>
      <c r="L346" s="714"/>
      <c r="M346" s="720"/>
      <c r="T346" s="721"/>
      <c r="AT346" s="717" t="s">
        <v>868</v>
      </c>
      <c r="AU346" s="717" t="s">
        <v>101</v>
      </c>
      <c r="AV346" s="715" t="s">
        <v>99</v>
      </c>
      <c r="AW346" s="715" t="s">
        <v>870</v>
      </c>
      <c r="AX346" s="715" t="s">
        <v>301</v>
      </c>
      <c r="AY346" s="717" t="s">
        <v>863</v>
      </c>
    </row>
    <row r="347" spans="2:65" s="715" customFormat="1" ht="11.4" x14ac:dyDescent="0.25">
      <c r="B347" s="714"/>
      <c r="D347" s="716" t="s">
        <v>868</v>
      </c>
      <c r="E347" s="717" t="s">
        <v>725</v>
      </c>
      <c r="F347" s="718" t="s">
        <v>888</v>
      </c>
      <c r="H347" s="717" t="s">
        <v>725</v>
      </c>
      <c r="K347" s="719"/>
      <c r="L347" s="714"/>
      <c r="M347" s="720"/>
      <c r="T347" s="721"/>
      <c r="AT347" s="717" t="s">
        <v>868</v>
      </c>
      <c r="AU347" s="717" t="s">
        <v>101</v>
      </c>
      <c r="AV347" s="715" t="s">
        <v>99</v>
      </c>
      <c r="AW347" s="715" t="s">
        <v>870</v>
      </c>
      <c r="AX347" s="715" t="s">
        <v>301</v>
      </c>
      <c r="AY347" s="717" t="s">
        <v>863</v>
      </c>
    </row>
    <row r="348" spans="2:65" s="723" customFormat="1" ht="11.4" x14ac:dyDescent="0.25">
      <c r="B348" s="722"/>
      <c r="D348" s="716" t="s">
        <v>868</v>
      </c>
      <c r="E348" s="724" t="s">
        <v>725</v>
      </c>
      <c r="F348" s="725" t="s">
        <v>710</v>
      </c>
      <c r="H348" s="726">
        <v>63.62</v>
      </c>
      <c r="K348" s="727"/>
      <c r="L348" s="722"/>
      <c r="M348" s="728"/>
      <c r="T348" s="729"/>
      <c r="AT348" s="724" t="s">
        <v>868</v>
      </c>
      <c r="AU348" s="724" t="s">
        <v>101</v>
      </c>
      <c r="AV348" s="723" t="s">
        <v>101</v>
      </c>
      <c r="AW348" s="723" t="s">
        <v>870</v>
      </c>
      <c r="AX348" s="723" t="s">
        <v>301</v>
      </c>
      <c r="AY348" s="724" t="s">
        <v>863</v>
      </c>
    </row>
    <row r="349" spans="2:65" s="723" customFormat="1" ht="11.4" x14ac:dyDescent="0.25">
      <c r="B349" s="722"/>
      <c r="D349" s="716" t="s">
        <v>868</v>
      </c>
      <c r="E349" s="724" t="s">
        <v>725</v>
      </c>
      <c r="F349" s="725" t="s">
        <v>756</v>
      </c>
      <c r="H349" s="726">
        <v>38.36</v>
      </c>
      <c r="K349" s="727"/>
      <c r="L349" s="722"/>
      <c r="M349" s="728"/>
      <c r="T349" s="729"/>
      <c r="AT349" s="724" t="s">
        <v>868</v>
      </c>
      <c r="AU349" s="724" t="s">
        <v>101</v>
      </c>
      <c r="AV349" s="723" t="s">
        <v>101</v>
      </c>
      <c r="AW349" s="723" t="s">
        <v>699</v>
      </c>
      <c r="AX349" s="723" t="s">
        <v>301</v>
      </c>
      <c r="AY349" s="724" t="s">
        <v>863</v>
      </c>
    </row>
    <row r="350" spans="2:65" s="723" customFormat="1" ht="11.4" x14ac:dyDescent="0.25">
      <c r="B350" s="722"/>
      <c r="D350" s="716" t="s">
        <v>868</v>
      </c>
      <c r="E350" s="724" t="s">
        <v>725</v>
      </c>
      <c r="F350" s="725" t="s">
        <v>763</v>
      </c>
      <c r="H350" s="726">
        <v>8.8800000000000008</v>
      </c>
      <c r="K350" s="727"/>
      <c r="L350" s="722"/>
      <c r="M350" s="728"/>
      <c r="T350" s="729"/>
      <c r="AT350" s="724" t="s">
        <v>868</v>
      </c>
      <c r="AU350" s="724" t="s">
        <v>101</v>
      </c>
      <c r="AV350" s="723" t="s">
        <v>101</v>
      </c>
      <c r="AW350" s="723" t="s">
        <v>870</v>
      </c>
      <c r="AX350" s="723" t="s">
        <v>301</v>
      </c>
      <c r="AY350" s="724" t="s">
        <v>863</v>
      </c>
    </row>
    <row r="351" spans="2:65" s="731" customFormat="1" ht="11.4" x14ac:dyDescent="0.25">
      <c r="B351" s="730"/>
      <c r="D351" s="716" t="s">
        <v>868</v>
      </c>
      <c r="E351" s="732" t="s">
        <v>725</v>
      </c>
      <c r="F351" s="733" t="s">
        <v>873</v>
      </c>
      <c r="H351" s="734">
        <v>110.86</v>
      </c>
      <c r="K351" s="735"/>
      <c r="L351" s="730"/>
      <c r="M351" s="736"/>
      <c r="T351" s="737"/>
      <c r="AT351" s="732" t="s">
        <v>868</v>
      </c>
      <c r="AU351" s="732" t="s">
        <v>101</v>
      </c>
      <c r="AV351" s="731" t="s">
        <v>103</v>
      </c>
      <c r="AW351" s="731" t="s">
        <v>870</v>
      </c>
      <c r="AX351" s="731" t="s">
        <v>99</v>
      </c>
      <c r="AY351" s="732" t="s">
        <v>863</v>
      </c>
    </row>
    <row r="352" spans="2:65" s="163" customFormat="1" ht="26.4" customHeight="1" x14ac:dyDescent="0.25">
      <c r="B352" s="702"/>
      <c r="C352" s="703" t="s">
        <v>1054</v>
      </c>
      <c r="D352" s="703" t="s">
        <v>864</v>
      </c>
      <c r="E352" s="704" t="s">
        <v>1055</v>
      </c>
      <c r="F352" s="705" t="s">
        <v>1056</v>
      </c>
      <c r="G352" s="706" t="s">
        <v>15</v>
      </c>
      <c r="H352" s="707">
        <v>39.49</v>
      </c>
      <c r="I352" s="708"/>
      <c r="J352" s="708">
        <f>ROUND(I352*H352,2)</f>
        <v>0</v>
      </c>
      <c r="K352" s="705" t="s">
        <v>931</v>
      </c>
      <c r="L352" s="164"/>
      <c r="M352" s="709" t="s">
        <v>725</v>
      </c>
      <c r="N352" s="710" t="s">
        <v>813</v>
      </c>
      <c r="O352" s="711">
        <v>2.7E-2</v>
      </c>
      <c r="P352" s="711">
        <f>O352*H352</f>
        <v>1.06623</v>
      </c>
      <c r="Q352" s="711">
        <v>0</v>
      </c>
      <c r="R352" s="711">
        <f>Q352*H352</f>
        <v>0</v>
      </c>
      <c r="S352" s="711">
        <v>0</v>
      </c>
      <c r="T352" s="712">
        <f>S352*H352</f>
        <v>0</v>
      </c>
      <c r="AR352" s="668" t="s">
        <v>103</v>
      </c>
      <c r="AT352" s="668" t="s">
        <v>864</v>
      </c>
      <c r="AU352" s="668" t="s">
        <v>101</v>
      </c>
      <c r="AY352" s="157" t="s">
        <v>863</v>
      </c>
      <c r="BE352" s="713">
        <f>IF(N352="základní",J352,0)</f>
        <v>0</v>
      </c>
      <c r="BF352" s="713">
        <f>IF(N352="snížená",J352,0)</f>
        <v>0</v>
      </c>
      <c r="BG352" s="713">
        <f>IF(N352="zákl. přenesená",J352,0)</f>
        <v>0</v>
      </c>
      <c r="BH352" s="713">
        <f>IF(N352="sníž. přenesená",J352,0)</f>
        <v>0</v>
      </c>
      <c r="BI352" s="713">
        <f>IF(N352="nulová",J352,0)</f>
        <v>0</v>
      </c>
      <c r="BJ352" s="157" t="s">
        <v>99</v>
      </c>
      <c r="BK352" s="713">
        <f>ROUND(I352*H352,2)</f>
        <v>0</v>
      </c>
      <c r="BL352" s="157" t="s">
        <v>103</v>
      </c>
      <c r="BM352" s="668" t="s">
        <v>1057</v>
      </c>
    </row>
    <row r="353" spans="2:65" s="715" customFormat="1" ht="11.4" x14ac:dyDescent="0.25">
      <c r="B353" s="714"/>
      <c r="D353" s="716" t="s">
        <v>868</v>
      </c>
      <c r="E353" s="717" t="s">
        <v>725</v>
      </c>
      <c r="F353" s="718" t="s">
        <v>881</v>
      </c>
      <c r="H353" s="717" t="s">
        <v>725</v>
      </c>
      <c r="K353" s="719"/>
      <c r="L353" s="714"/>
      <c r="M353" s="720"/>
      <c r="T353" s="721"/>
      <c r="AT353" s="717" t="s">
        <v>868</v>
      </c>
      <c r="AU353" s="717" t="s">
        <v>101</v>
      </c>
      <c r="AV353" s="715" t="s">
        <v>99</v>
      </c>
      <c r="AW353" s="715" t="s">
        <v>870</v>
      </c>
      <c r="AX353" s="715" t="s">
        <v>301</v>
      </c>
      <c r="AY353" s="717" t="s">
        <v>863</v>
      </c>
    </row>
    <row r="354" spans="2:65" s="715" customFormat="1" ht="11.4" x14ac:dyDescent="0.25">
      <c r="B354" s="714"/>
      <c r="D354" s="716" t="s">
        <v>868</v>
      </c>
      <c r="E354" s="717" t="s">
        <v>725</v>
      </c>
      <c r="F354" s="718" t="s">
        <v>869</v>
      </c>
      <c r="H354" s="717" t="s">
        <v>725</v>
      </c>
      <c r="K354" s="719"/>
      <c r="L354" s="714"/>
      <c r="M354" s="720"/>
      <c r="T354" s="721"/>
      <c r="AT354" s="717" t="s">
        <v>868</v>
      </c>
      <c r="AU354" s="717" t="s">
        <v>101</v>
      </c>
      <c r="AV354" s="715" t="s">
        <v>99</v>
      </c>
      <c r="AW354" s="715" t="s">
        <v>870</v>
      </c>
      <c r="AX354" s="715" t="s">
        <v>301</v>
      </c>
      <c r="AY354" s="717" t="s">
        <v>863</v>
      </c>
    </row>
    <row r="355" spans="2:65" s="715" customFormat="1" ht="11.4" x14ac:dyDescent="0.25">
      <c r="B355" s="714"/>
      <c r="D355" s="716" t="s">
        <v>868</v>
      </c>
      <c r="E355" s="717" t="s">
        <v>725</v>
      </c>
      <c r="F355" s="718" t="s">
        <v>887</v>
      </c>
      <c r="H355" s="717" t="s">
        <v>725</v>
      </c>
      <c r="K355" s="719"/>
      <c r="L355" s="714"/>
      <c r="M355" s="720"/>
      <c r="T355" s="721"/>
      <c r="AT355" s="717" t="s">
        <v>868</v>
      </c>
      <c r="AU355" s="717" t="s">
        <v>101</v>
      </c>
      <c r="AV355" s="715" t="s">
        <v>99</v>
      </c>
      <c r="AW355" s="715" t="s">
        <v>870</v>
      </c>
      <c r="AX355" s="715" t="s">
        <v>301</v>
      </c>
      <c r="AY355" s="717" t="s">
        <v>863</v>
      </c>
    </row>
    <row r="356" spans="2:65" s="715" customFormat="1" ht="11.4" x14ac:dyDescent="0.25">
      <c r="B356" s="714"/>
      <c r="D356" s="716" t="s">
        <v>868</v>
      </c>
      <c r="E356" s="717" t="s">
        <v>725</v>
      </c>
      <c r="F356" s="718" t="s">
        <v>888</v>
      </c>
      <c r="H356" s="717" t="s">
        <v>725</v>
      </c>
      <c r="K356" s="719"/>
      <c r="L356" s="714"/>
      <c r="M356" s="720"/>
      <c r="T356" s="721"/>
      <c r="AT356" s="717" t="s">
        <v>868</v>
      </c>
      <c r="AU356" s="717" t="s">
        <v>101</v>
      </c>
      <c r="AV356" s="715" t="s">
        <v>99</v>
      </c>
      <c r="AW356" s="715" t="s">
        <v>870</v>
      </c>
      <c r="AX356" s="715" t="s">
        <v>301</v>
      </c>
      <c r="AY356" s="717" t="s">
        <v>863</v>
      </c>
    </row>
    <row r="357" spans="2:65" s="723" customFormat="1" ht="11.4" x14ac:dyDescent="0.25">
      <c r="B357" s="722"/>
      <c r="D357" s="716" t="s">
        <v>868</v>
      </c>
      <c r="E357" s="724" t="s">
        <v>725</v>
      </c>
      <c r="F357" s="725" t="s">
        <v>775</v>
      </c>
      <c r="H357" s="726">
        <v>39.49</v>
      </c>
      <c r="K357" s="727"/>
      <c r="L357" s="722"/>
      <c r="M357" s="728"/>
      <c r="T357" s="729"/>
      <c r="AT357" s="724" t="s">
        <v>868</v>
      </c>
      <c r="AU357" s="724" t="s">
        <v>101</v>
      </c>
      <c r="AV357" s="723" t="s">
        <v>101</v>
      </c>
      <c r="AW357" s="723" t="s">
        <v>870</v>
      </c>
      <c r="AX357" s="723" t="s">
        <v>301</v>
      </c>
      <c r="AY357" s="724" t="s">
        <v>863</v>
      </c>
    </row>
    <row r="358" spans="2:65" s="731" customFormat="1" ht="11.4" x14ac:dyDescent="0.25">
      <c r="B358" s="730"/>
      <c r="D358" s="716" t="s">
        <v>868</v>
      </c>
      <c r="E358" s="732" t="s">
        <v>725</v>
      </c>
      <c r="F358" s="733" t="s">
        <v>873</v>
      </c>
      <c r="H358" s="734">
        <v>39.49</v>
      </c>
      <c r="K358" s="735"/>
      <c r="L358" s="730"/>
      <c r="M358" s="736"/>
      <c r="T358" s="737"/>
      <c r="AT358" s="732" t="s">
        <v>868</v>
      </c>
      <c r="AU358" s="732" t="s">
        <v>101</v>
      </c>
      <c r="AV358" s="731" t="s">
        <v>103</v>
      </c>
      <c r="AW358" s="731" t="s">
        <v>870</v>
      </c>
      <c r="AX358" s="731" t="s">
        <v>99</v>
      </c>
      <c r="AY358" s="732" t="s">
        <v>863</v>
      </c>
    </row>
    <row r="359" spans="2:65" s="163" customFormat="1" ht="28.2" customHeight="1" x14ac:dyDescent="0.25">
      <c r="B359" s="702"/>
      <c r="C359" s="703" t="s">
        <v>1058</v>
      </c>
      <c r="D359" s="703" t="s">
        <v>864</v>
      </c>
      <c r="E359" s="704" t="s">
        <v>1059</v>
      </c>
      <c r="F359" s="705" t="s">
        <v>1060</v>
      </c>
      <c r="G359" s="706" t="s">
        <v>15</v>
      </c>
      <c r="H359" s="707">
        <v>33.49</v>
      </c>
      <c r="I359" s="708"/>
      <c r="J359" s="708">
        <f>ROUND(I359*H359,2)</f>
        <v>0</v>
      </c>
      <c r="K359" s="705" t="s">
        <v>2622</v>
      </c>
      <c r="L359" s="164"/>
      <c r="M359" s="709" t="s">
        <v>725</v>
      </c>
      <c r="N359" s="710" t="s">
        <v>813</v>
      </c>
      <c r="O359" s="711">
        <v>2.7E-2</v>
      </c>
      <c r="P359" s="711">
        <f>O359*H359</f>
        <v>0.90423000000000009</v>
      </c>
      <c r="Q359" s="711">
        <v>0</v>
      </c>
      <c r="R359" s="711">
        <f>Q359*H359</f>
        <v>0</v>
      </c>
      <c r="S359" s="711">
        <v>0</v>
      </c>
      <c r="T359" s="712">
        <f>S359*H359</f>
        <v>0</v>
      </c>
      <c r="AR359" s="668" t="s">
        <v>103</v>
      </c>
      <c r="AT359" s="668" t="s">
        <v>864</v>
      </c>
      <c r="AU359" s="668" t="s">
        <v>101</v>
      </c>
      <c r="AY359" s="157" t="s">
        <v>863</v>
      </c>
      <c r="BE359" s="713">
        <f>IF(N359="základní",J359,0)</f>
        <v>0</v>
      </c>
      <c r="BF359" s="713">
        <f>IF(N359="snížená",J359,0)</f>
        <v>0</v>
      </c>
      <c r="BG359" s="713">
        <f>IF(N359="zákl. přenesená",J359,0)</f>
        <v>0</v>
      </c>
      <c r="BH359" s="713">
        <f>IF(N359="sníž. přenesená",J359,0)</f>
        <v>0</v>
      </c>
      <c r="BI359" s="713">
        <f>IF(N359="nulová",J359,0)</f>
        <v>0</v>
      </c>
      <c r="BJ359" s="157" t="s">
        <v>99</v>
      </c>
      <c r="BK359" s="713">
        <f>ROUND(I359*H359,2)</f>
        <v>0</v>
      </c>
      <c r="BL359" s="157" t="s">
        <v>103</v>
      </c>
      <c r="BM359" s="668" t="s">
        <v>1061</v>
      </c>
    </row>
    <row r="360" spans="2:65" s="715" customFormat="1" ht="11.4" x14ac:dyDescent="0.25">
      <c r="B360" s="714"/>
      <c r="D360" s="716" t="s">
        <v>868</v>
      </c>
      <c r="E360" s="717" t="s">
        <v>725</v>
      </c>
      <c r="F360" s="718" t="s">
        <v>881</v>
      </c>
      <c r="H360" s="717" t="s">
        <v>725</v>
      </c>
      <c r="K360" s="719"/>
      <c r="L360" s="714"/>
      <c r="M360" s="720"/>
      <c r="T360" s="721"/>
      <c r="AT360" s="717" t="s">
        <v>868</v>
      </c>
      <c r="AU360" s="717" t="s">
        <v>101</v>
      </c>
      <c r="AV360" s="715" t="s">
        <v>99</v>
      </c>
      <c r="AW360" s="715" t="s">
        <v>870</v>
      </c>
      <c r="AX360" s="715" t="s">
        <v>301</v>
      </c>
      <c r="AY360" s="717" t="s">
        <v>863</v>
      </c>
    </row>
    <row r="361" spans="2:65" s="715" customFormat="1" ht="11.4" x14ac:dyDescent="0.25">
      <c r="B361" s="714"/>
      <c r="D361" s="716" t="s">
        <v>868</v>
      </c>
      <c r="E361" s="717" t="s">
        <v>725</v>
      </c>
      <c r="F361" s="718" t="s">
        <v>869</v>
      </c>
      <c r="H361" s="717" t="s">
        <v>725</v>
      </c>
      <c r="K361" s="719"/>
      <c r="L361" s="714"/>
      <c r="M361" s="720"/>
      <c r="T361" s="721"/>
      <c r="AT361" s="717" t="s">
        <v>868</v>
      </c>
      <c r="AU361" s="717" t="s">
        <v>101</v>
      </c>
      <c r="AV361" s="715" t="s">
        <v>99</v>
      </c>
      <c r="AW361" s="715" t="s">
        <v>870</v>
      </c>
      <c r="AX361" s="715" t="s">
        <v>301</v>
      </c>
      <c r="AY361" s="717" t="s">
        <v>863</v>
      </c>
    </row>
    <row r="362" spans="2:65" s="715" customFormat="1" ht="11.4" x14ac:dyDescent="0.25">
      <c r="B362" s="714"/>
      <c r="D362" s="716" t="s">
        <v>868</v>
      </c>
      <c r="E362" s="717" t="s">
        <v>725</v>
      </c>
      <c r="F362" s="718" t="s">
        <v>887</v>
      </c>
      <c r="H362" s="717" t="s">
        <v>725</v>
      </c>
      <c r="K362" s="719"/>
      <c r="L362" s="714"/>
      <c r="M362" s="720"/>
      <c r="T362" s="721"/>
      <c r="AT362" s="717" t="s">
        <v>868</v>
      </c>
      <c r="AU362" s="717" t="s">
        <v>101</v>
      </c>
      <c r="AV362" s="715" t="s">
        <v>99</v>
      </c>
      <c r="AW362" s="715" t="s">
        <v>870</v>
      </c>
      <c r="AX362" s="715" t="s">
        <v>301</v>
      </c>
      <c r="AY362" s="717" t="s">
        <v>863</v>
      </c>
    </row>
    <row r="363" spans="2:65" s="715" customFormat="1" ht="11.4" x14ac:dyDescent="0.25">
      <c r="B363" s="714"/>
      <c r="D363" s="716" t="s">
        <v>868</v>
      </c>
      <c r="E363" s="717" t="s">
        <v>725</v>
      </c>
      <c r="F363" s="718" t="s">
        <v>888</v>
      </c>
      <c r="H363" s="717" t="s">
        <v>725</v>
      </c>
      <c r="K363" s="719"/>
      <c r="L363" s="714"/>
      <c r="M363" s="720"/>
      <c r="T363" s="721"/>
      <c r="AT363" s="717" t="s">
        <v>868</v>
      </c>
      <c r="AU363" s="717" t="s">
        <v>101</v>
      </c>
      <c r="AV363" s="715" t="s">
        <v>99</v>
      </c>
      <c r="AW363" s="715" t="s">
        <v>870</v>
      </c>
      <c r="AX363" s="715" t="s">
        <v>301</v>
      </c>
      <c r="AY363" s="717" t="s">
        <v>863</v>
      </c>
    </row>
    <row r="364" spans="2:65" s="723" customFormat="1" ht="11.4" x14ac:dyDescent="0.25">
      <c r="B364" s="722"/>
      <c r="D364" s="716" t="s">
        <v>868</v>
      </c>
      <c r="E364" s="724" t="s">
        <v>725</v>
      </c>
      <c r="F364" s="725" t="s">
        <v>721</v>
      </c>
      <c r="H364" s="726">
        <v>33.49</v>
      </c>
      <c r="K364" s="727"/>
      <c r="L364" s="722"/>
      <c r="M364" s="728"/>
      <c r="T364" s="729"/>
      <c r="AT364" s="724" t="s">
        <v>868</v>
      </c>
      <c r="AU364" s="724" t="s">
        <v>101</v>
      </c>
      <c r="AV364" s="723" t="s">
        <v>101</v>
      </c>
      <c r="AW364" s="723" t="s">
        <v>870</v>
      </c>
      <c r="AX364" s="723" t="s">
        <v>301</v>
      </c>
      <c r="AY364" s="724" t="s">
        <v>863</v>
      </c>
    </row>
    <row r="365" spans="2:65" s="731" customFormat="1" ht="11.4" x14ac:dyDescent="0.25">
      <c r="B365" s="730"/>
      <c r="D365" s="716" t="s">
        <v>868</v>
      </c>
      <c r="E365" s="732" t="s">
        <v>725</v>
      </c>
      <c r="F365" s="733" t="s">
        <v>873</v>
      </c>
      <c r="H365" s="734">
        <v>33.49</v>
      </c>
      <c r="K365" s="735"/>
      <c r="L365" s="730"/>
      <c r="M365" s="736"/>
      <c r="T365" s="737"/>
      <c r="AT365" s="732" t="s">
        <v>868</v>
      </c>
      <c r="AU365" s="732" t="s">
        <v>101</v>
      </c>
      <c r="AV365" s="731" t="s">
        <v>103</v>
      </c>
      <c r="AW365" s="731" t="s">
        <v>870</v>
      </c>
      <c r="AX365" s="731" t="s">
        <v>99</v>
      </c>
      <c r="AY365" s="732" t="s">
        <v>863</v>
      </c>
    </row>
    <row r="366" spans="2:65" s="163" customFormat="1" ht="27" customHeight="1" x14ac:dyDescent="0.25">
      <c r="B366" s="702"/>
      <c r="C366" s="703" t="s">
        <v>1062</v>
      </c>
      <c r="D366" s="703" t="s">
        <v>864</v>
      </c>
      <c r="E366" s="704" t="s">
        <v>1063</v>
      </c>
      <c r="F366" s="705" t="s">
        <v>1064</v>
      </c>
      <c r="G366" s="706" t="s">
        <v>15</v>
      </c>
      <c r="H366" s="707">
        <v>610.44500000000005</v>
      </c>
      <c r="I366" s="708"/>
      <c r="J366" s="708">
        <f>ROUND(I366*H366,2)</f>
        <v>0</v>
      </c>
      <c r="K366" s="705" t="s">
        <v>2622</v>
      </c>
      <c r="L366" s="164"/>
      <c r="M366" s="709" t="s">
        <v>725</v>
      </c>
      <c r="N366" s="710" t="s">
        <v>813</v>
      </c>
      <c r="O366" s="711">
        <v>2.7E-2</v>
      </c>
      <c r="P366" s="711">
        <f>O366*H366</f>
        <v>16.482015000000001</v>
      </c>
      <c r="Q366" s="711">
        <v>0</v>
      </c>
      <c r="R366" s="711">
        <f>Q366*H366</f>
        <v>0</v>
      </c>
      <c r="S366" s="711">
        <v>0</v>
      </c>
      <c r="T366" s="712">
        <f>S366*H366</f>
        <v>0</v>
      </c>
      <c r="AR366" s="668" t="s">
        <v>103</v>
      </c>
      <c r="AT366" s="668" t="s">
        <v>864</v>
      </c>
      <c r="AU366" s="668" t="s">
        <v>101</v>
      </c>
      <c r="AY366" s="157" t="s">
        <v>863</v>
      </c>
      <c r="BE366" s="713">
        <f>IF(N366="základní",J366,0)</f>
        <v>0</v>
      </c>
      <c r="BF366" s="713">
        <f>IF(N366="snížená",J366,0)</f>
        <v>0</v>
      </c>
      <c r="BG366" s="713">
        <f>IF(N366="zákl. přenesená",J366,0)</f>
        <v>0</v>
      </c>
      <c r="BH366" s="713">
        <f>IF(N366="sníž. přenesená",J366,0)</f>
        <v>0</v>
      </c>
      <c r="BI366" s="713">
        <f>IF(N366="nulová",J366,0)</f>
        <v>0</v>
      </c>
      <c r="BJ366" s="157" t="s">
        <v>99</v>
      </c>
      <c r="BK366" s="713">
        <f>ROUND(I366*H366,2)</f>
        <v>0</v>
      </c>
      <c r="BL366" s="157" t="s">
        <v>103</v>
      </c>
      <c r="BM366" s="668" t="s">
        <v>1065</v>
      </c>
    </row>
    <row r="367" spans="2:65" s="715" customFormat="1" ht="11.4" x14ac:dyDescent="0.25">
      <c r="B367" s="714"/>
      <c r="D367" s="716" t="s">
        <v>868</v>
      </c>
      <c r="E367" s="717" t="s">
        <v>725</v>
      </c>
      <c r="F367" s="718" t="s">
        <v>881</v>
      </c>
      <c r="H367" s="717" t="s">
        <v>725</v>
      </c>
      <c r="K367" s="719"/>
      <c r="L367" s="714"/>
      <c r="M367" s="720"/>
      <c r="T367" s="721"/>
      <c r="AT367" s="717" t="s">
        <v>868</v>
      </c>
      <c r="AU367" s="717" t="s">
        <v>101</v>
      </c>
      <c r="AV367" s="715" t="s">
        <v>99</v>
      </c>
      <c r="AW367" s="715" t="s">
        <v>870</v>
      </c>
      <c r="AX367" s="715" t="s">
        <v>301</v>
      </c>
      <c r="AY367" s="717" t="s">
        <v>863</v>
      </c>
    </row>
    <row r="368" spans="2:65" s="715" customFormat="1" ht="11.4" x14ac:dyDescent="0.25">
      <c r="B368" s="714"/>
      <c r="D368" s="716" t="s">
        <v>868</v>
      </c>
      <c r="E368" s="717" t="s">
        <v>725</v>
      </c>
      <c r="F368" s="718" t="s">
        <v>869</v>
      </c>
      <c r="H368" s="717" t="s">
        <v>725</v>
      </c>
      <c r="K368" s="719"/>
      <c r="L368" s="714"/>
      <c r="M368" s="720"/>
      <c r="T368" s="721"/>
      <c r="AT368" s="717" t="s">
        <v>868</v>
      </c>
      <c r="AU368" s="717" t="s">
        <v>101</v>
      </c>
      <c r="AV368" s="715" t="s">
        <v>99</v>
      </c>
      <c r="AW368" s="715" t="s">
        <v>870</v>
      </c>
      <c r="AX368" s="715" t="s">
        <v>301</v>
      </c>
      <c r="AY368" s="717" t="s">
        <v>863</v>
      </c>
    </row>
    <row r="369" spans="2:65" s="715" customFormat="1" ht="11.4" x14ac:dyDescent="0.25">
      <c r="B369" s="714"/>
      <c r="D369" s="716" t="s">
        <v>868</v>
      </c>
      <c r="E369" s="717" t="s">
        <v>725</v>
      </c>
      <c r="F369" s="718" t="s">
        <v>887</v>
      </c>
      <c r="H369" s="717" t="s">
        <v>725</v>
      </c>
      <c r="K369" s="719"/>
      <c r="L369" s="714"/>
      <c r="M369" s="720"/>
      <c r="T369" s="721"/>
      <c r="AT369" s="717" t="s">
        <v>868</v>
      </c>
      <c r="AU369" s="717" t="s">
        <v>101</v>
      </c>
      <c r="AV369" s="715" t="s">
        <v>99</v>
      </c>
      <c r="AW369" s="715" t="s">
        <v>870</v>
      </c>
      <c r="AX369" s="715" t="s">
        <v>301</v>
      </c>
      <c r="AY369" s="717" t="s">
        <v>863</v>
      </c>
    </row>
    <row r="370" spans="2:65" s="715" customFormat="1" ht="11.4" x14ac:dyDescent="0.25">
      <c r="B370" s="714"/>
      <c r="D370" s="716" t="s">
        <v>868</v>
      </c>
      <c r="E370" s="717" t="s">
        <v>725</v>
      </c>
      <c r="F370" s="718" t="s">
        <v>888</v>
      </c>
      <c r="H370" s="717" t="s">
        <v>725</v>
      </c>
      <c r="K370" s="719"/>
      <c r="L370" s="714"/>
      <c r="M370" s="720"/>
      <c r="T370" s="721"/>
      <c r="AT370" s="717" t="s">
        <v>868</v>
      </c>
      <c r="AU370" s="717" t="s">
        <v>101</v>
      </c>
      <c r="AV370" s="715" t="s">
        <v>99</v>
      </c>
      <c r="AW370" s="715" t="s">
        <v>870</v>
      </c>
      <c r="AX370" s="715" t="s">
        <v>301</v>
      </c>
      <c r="AY370" s="717" t="s">
        <v>863</v>
      </c>
    </row>
    <row r="371" spans="2:65" s="723" customFormat="1" ht="11.4" x14ac:dyDescent="0.25">
      <c r="B371" s="722"/>
      <c r="D371" s="716" t="s">
        <v>868</v>
      </c>
      <c r="E371" s="724" t="s">
        <v>725</v>
      </c>
      <c r="F371" s="725" t="s">
        <v>714</v>
      </c>
      <c r="H371" s="726">
        <v>368.67</v>
      </c>
      <c r="K371" s="727"/>
      <c r="L371" s="722"/>
      <c r="M371" s="728"/>
      <c r="T371" s="729"/>
      <c r="AT371" s="724" t="s">
        <v>868</v>
      </c>
      <c r="AU371" s="724" t="s">
        <v>101</v>
      </c>
      <c r="AV371" s="723" t="s">
        <v>101</v>
      </c>
      <c r="AW371" s="723" t="s">
        <v>870</v>
      </c>
      <c r="AX371" s="723" t="s">
        <v>301</v>
      </c>
      <c r="AY371" s="724" t="s">
        <v>863</v>
      </c>
    </row>
    <row r="372" spans="2:65" s="723" customFormat="1" ht="11.4" x14ac:dyDescent="0.25">
      <c r="B372" s="722"/>
      <c r="D372" s="716" t="s">
        <v>868</v>
      </c>
      <c r="E372" s="724" t="s">
        <v>725</v>
      </c>
      <c r="F372" s="725" t="s">
        <v>786</v>
      </c>
      <c r="H372" s="726">
        <v>10.43</v>
      </c>
      <c r="K372" s="727"/>
      <c r="L372" s="722"/>
      <c r="M372" s="728"/>
      <c r="T372" s="729"/>
      <c r="AT372" s="724" t="s">
        <v>868</v>
      </c>
      <c r="AU372" s="724" t="s">
        <v>101</v>
      </c>
      <c r="AV372" s="723" t="s">
        <v>101</v>
      </c>
      <c r="AW372" s="723" t="s">
        <v>870</v>
      </c>
      <c r="AX372" s="723" t="s">
        <v>301</v>
      </c>
      <c r="AY372" s="724" t="s">
        <v>863</v>
      </c>
    </row>
    <row r="373" spans="2:65" s="723" customFormat="1" ht="11.4" x14ac:dyDescent="0.25">
      <c r="B373" s="722"/>
      <c r="D373" s="716" t="s">
        <v>868</v>
      </c>
      <c r="E373" s="724" t="s">
        <v>725</v>
      </c>
      <c r="F373" s="725" t="s">
        <v>790</v>
      </c>
      <c r="H373" s="726">
        <v>2.4500000000000002</v>
      </c>
      <c r="K373" s="727"/>
      <c r="L373" s="722"/>
      <c r="M373" s="728"/>
      <c r="T373" s="729"/>
      <c r="AT373" s="724" t="s">
        <v>868</v>
      </c>
      <c r="AU373" s="724" t="s">
        <v>101</v>
      </c>
      <c r="AV373" s="723" t="s">
        <v>101</v>
      </c>
      <c r="AW373" s="723" t="s">
        <v>870</v>
      </c>
      <c r="AX373" s="723" t="s">
        <v>301</v>
      </c>
      <c r="AY373" s="724" t="s">
        <v>863</v>
      </c>
    </row>
    <row r="374" spans="2:65" s="723" customFormat="1" ht="11.4" x14ac:dyDescent="0.25">
      <c r="B374" s="722"/>
      <c r="D374" s="716" t="s">
        <v>868</v>
      </c>
      <c r="E374" s="724" t="s">
        <v>725</v>
      </c>
      <c r="F374" s="725" t="s">
        <v>710</v>
      </c>
      <c r="H374" s="726">
        <v>63.62</v>
      </c>
      <c r="K374" s="727"/>
      <c r="L374" s="722"/>
      <c r="M374" s="728"/>
      <c r="T374" s="729"/>
      <c r="AT374" s="724" t="s">
        <v>868</v>
      </c>
      <c r="AU374" s="724" t="s">
        <v>101</v>
      </c>
      <c r="AV374" s="723" t="s">
        <v>101</v>
      </c>
      <c r="AW374" s="723" t="s">
        <v>870</v>
      </c>
      <c r="AX374" s="723" t="s">
        <v>301</v>
      </c>
      <c r="AY374" s="724" t="s">
        <v>863</v>
      </c>
    </row>
    <row r="375" spans="2:65" s="723" customFormat="1" ht="11.4" x14ac:dyDescent="0.25">
      <c r="B375" s="722"/>
      <c r="D375" s="716" t="s">
        <v>868</v>
      </c>
      <c r="E375" s="724" t="s">
        <v>725</v>
      </c>
      <c r="F375" s="725" t="s">
        <v>707</v>
      </c>
      <c r="H375" s="726">
        <v>24.75</v>
      </c>
      <c r="K375" s="727"/>
      <c r="L375" s="722"/>
      <c r="M375" s="728"/>
      <c r="T375" s="729"/>
      <c r="AT375" s="724" t="s">
        <v>868</v>
      </c>
      <c r="AU375" s="724" t="s">
        <v>101</v>
      </c>
      <c r="AV375" s="723" t="s">
        <v>101</v>
      </c>
      <c r="AW375" s="723" t="s">
        <v>870</v>
      </c>
      <c r="AX375" s="723" t="s">
        <v>301</v>
      </c>
      <c r="AY375" s="724" t="s">
        <v>863</v>
      </c>
    </row>
    <row r="376" spans="2:65" s="723" customFormat="1" ht="11.4" x14ac:dyDescent="0.25">
      <c r="B376" s="722"/>
      <c r="D376" s="716" t="s">
        <v>868</v>
      </c>
      <c r="E376" s="724" t="s">
        <v>725</v>
      </c>
      <c r="F376" s="725" t="s">
        <v>703</v>
      </c>
      <c r="H376" s="726">
        <v>33.274999999999999</v>
      </c>
      <c r="K376" s="727"/>
      <c r="L376" s="722"/>
      <c r="M376" s="728"/>
      <c r="T376" s="729"/>
      <c r="AT376" s="724" t="s">
        <v>868</v>
      </c>
      <c r="AU376" s="724" t="s">
        <v>101</v>
      </c>
      <c r="AV376" s="723" t="s">
        <v>101</v>
      </c>
      <c r="AW376" s="723" t="s">
        <v>870</v>
      </c>
      <c r="AX376" s="723" t="s">
        <v>301</v>
      </c>
      <c r="AY376" s="724" t="s">
        <v>863</v>
      </c>
    </row>
    <row r="377" spans="2:65" s="723" customFormat="1" ht="11.4" x14ac:dyDescent="0.25">
      <c r="B377" s="722"/>
      <c r="D377" s="716" t="s">
        <v>868</v>
      </c>
      <c r="E377" s="724" t="s">
        <v>725</v>
      </c>
      <c r="F377" s="725" t="s">
        <v>694</v>
      </c>
      <c r="H377" s="726">
        <v>88</v>
      </c>
      <c r="K377" s="727"/>
      <c r="L377" s="722"/>
      <c r="M377" s="728"/>
      <c r="T377" s="729"/>
      <c r="AT377" s="724" t="s">
        <v>868</v>
      </c>
      <c r="AU377" s="724" t="s">
        <v>101</v>
      </c>
      <c r="AV377" s="723" t="s">
        <v>101</v>
      </c>
      <c r="AW377" s="723" t="s">
        <v>870</v>
      </c>
      <c r="AX377" s="723" t="s">
        <v>301</v>
      </c>
      <c r="AY377" s="724" t="s">
        <v>863</v>
      </c>
    </row>
    <row r="378" spans="2:65" s="723" customFormat="1" ht="11.4" x14ac:dyDescent="0.25">
      <c r="B378" s="722"/>
      <c r="D378" s="716" t="s">
        <v>868</v>
      </c>
      <c r="E378" s="724" t="s">
        <v>725</v>
      </c>
      <c r="F378" s="725" t="s">
        <v>700</v>
      </c>
      <c r="H378" s="726">
        <v>19.25</v>
      </c>
      <c r="K378" s="727"/>
      <c r="L378" s="722"/>
      <c r="M378" s="728"/>
      <c r="T378" s="729"/>
      <c r="AT378" s="724" t="s">
        <v>868</v>
      </c>
      <c r="AU378" s="724" t="s">
        <v>101</v>
      </c>
      <c r="AV378" s="723" t="s">
        <v>101</v>
      </c>
      <c r="AW378" s="723" t="s">
        <v>870</v>
      </c>
      <c r="AX378" s="723" t="s">
        <v>301</v>
      </c>
      <c r="AY378" s="724" t="s">
        <v>863</v>
      </c>
    </row>
    <row r="379" spans="2:65" s="731" customFormat="1" ht="11.4" x14ac:dyDescent="0.25">
      <c r="B379" s="730"/>
      <c r="D379" s="716" t="s">
        <v>868</v>
      </c>
      <c r="E379" s="732" t="s">
        <v>725</v>
      </c>
      <c r="F379" s="733" t="s">
        <v>873</v>
      </c>
      <c r="H379" s="734">
        <v>610.44500000000005</v>
      </c>
      <c r="K379" s="735"/>
      <c r="L379" s="730"/>
      <c r="M379" s="736"/>
      <c r="T379" s="737"/>
      <c r="AT379" s="732" t="s">
        <v>868</v>
      </c>
      <c r="AU379" s="732" t="s">
        <v>101</v>
      </c>
      <c r="AV379" s="731" t="s">
        <v>103</v>
      </c>
      <c r="AW379" s="731" t="s">
        <v>870</v>
      </c>
      <c r="AX379" s="731" t="s">
        <v>99</v>
      </c>
      <c r="AY379" s="732" t="s">
        <v>863</v>
      </c>
    </row>
    <row r="380" spans="2:65" s="163" customFormat="1" ht="17.399999999999999" customHeight="1" x14ac:dyDescent="0.25">
      <c r="B380" s="702"/>
      <c r="C380" s="703" t="s">
        <v>1066</v>
      </c>
      <c r="D380" s="703" t="s">
        <v>864</v>
      </c>
      <c r="E380" s="704" t="s">
        <v>1067</v>
      </c>
      <c r="F380" s="705" t="s">
        <v>1068</v>
      </c>
      <c r="G380" s="706" t="s">
        <v>15</v>
      </c>
      <c r="H380" s="707">
        <v>118.62</v>
      </c>
      <c r="I380" s="708"/>
      <c r="J380" s="708">
        <f>ROUND(I380*H380,2)</f>
        <v>0</v>
      </c>
      <c r="K380" s="705" t="s">
        <v>2622</v>
      </c>
      <c r="L380" s="164"/>
      <c r="M380" s="709" t="s">
        <v>725</v>
      </c>
      <c r="N380" s="710" t="s">
        <v>813</v>
      </c>
      <c r="O380" s="711">
        <v>4.0000000000000001E-3</v>
      </c>
      <c r="P380" s="711">
        <f>O380*H380</f>
        <v>0.47448000000000001</v>
      </c>
      <c r="Q380" s="711">
        <v>0</v>
      </c>
      <c r="R380" s="711">
        <f>Q380*H380</f>
        <v>0</v>
      </c>
      <c r="S380" s="711">
        <v>0</v>
      </c>
      <c r="T380" s="712">
        <f>S380*H380</f>
        <v>0</v>
      </c>
      <c r="AR380" s="668" t="s">
        <v>103</v>
      </c>
      <c r="AT380" s="668" t="s">
        <v>864</v>
      </c>
      <c r="AU380" s="668" t="s">
        <v>101</v>
      </c>
      <c r="AY380" s="157" t="s">
        <v>863</v>
      </c>
      <c r="BE380" s="713">
        <f>IF(N380="základní",J380,0)</f>
        <v>0</v>
      </c>
      <c r="BF380" s="713">
        <f>IF(N380="snížená",J380,0)</f>
        <v>0</v>
      </c>
      <c r="BG380" s="713">
        <f>IF(N380="zákl. přenesená",J380,0)</f>
        <v>0</v>
      </c>
      <c r="BH380" s="713">
        <f>IF(N380="sníž. přenesená",J380,0)</f>
        <v>0</v>
      </c>
      <c r="BI380" s="713">
        <f>IF(N380="nulová",J380,0)</f>
        <v>0</v>
      </c>
      <c r="BJ380" s="157" t="s">
        <v>99</v>
      </c>
      <c r="BK380" s="713">
        <f>ROUND(I380*H380,2)</f>
        <v>0</v>
      </c>
      <c r="BL380" s="157" t="s">
        <v>103</v>
      </c>
      <c r="BM380" s="668" t="s">
        <v>1069</v>
      </c>
    </row>
    <row r="381" spans="2:65" s="715" customFormat="1" ht="11.4" x14ac:dyDescent="0.25">
      <c r="B381" s="714"/>
      <c r="D381" s="716" t="s">
        <v>868</v>
      </c>
      <c r="E381" s="717" t="s">
        <v>725</v>
      </c>
      <c r="F381" s="718" t="s">
        <v>881</v>
      </c>
      <c r="H381" s="717" t="s">
        <v>725</v>
      </c>
      <c r="K381" s="719"/>
      <c r="L381" s="714"/>
      <c r="M381" s="720"/>
      <c r="T381" s="721"/>
      <c r="AT381" s="717" t="s">
        <v>868</v>
      </c>
      <c r="AU381" s="717" t="s">
        <v>101</v>
      </c>
      <c r="AV381" s="715" t="s">
        <v>99</v>
      </c>
      <c r="AW381" s="715" t="s">
        <v>870</v>
      </c>
      <c r="AX381" s="715" t="s">
        <v>301</v>
      </c>
      <c r="AY381" s="717" t="s">
        <v>863</v>
      </c>
    </row>
    <row r="382" spans="2:65" s="715" customFormat="1" ht="11.4" x14ac:dyDescent="0.25">
      <c r="B382" s="714"/>
      <c r="D382" s="716" t="s">
        <v>868</v>
      </c>
      <c r="E382" s="717" t="s">
        <v>725</v>
      </c>
      <c r="F382" s="718" t="s">
        <v>869</v>
      </c>
      <c r="H382" s="717" t="s">
        <v>725</v>
      </c>
      <c r="K382" s="719"/>
      <c r="L382" s="714"/>
      <c r="M382" s="720"/>
      <c r="T382" s="721"/>
      <c r="AT382" s="717" t="s">
        <v>868</v>
      </c>
      <c r="AU382" s="717" t="s">
        <v>101</v>
      </c>
      <c r="AV382" s="715" t="s">
        <v>99</v>
      </c>
      <c r="AW382" s="715" t="s">
        <v>870</v>
      </c>
      <c r="AX382" s="715" t="s">
        <v>301</v>
      </c>
      <c r="AY382" s="717" t="s">
        <v>863</v>
      </c>
    </row>
    <row r="383" spans="2:65" s="715" customFormat="1" ht="11.4" x14ac:dyDescent="0.25">
      <c r="B383" s="714"/>
      <c r="D383" s="716" t="s">
        <v>868</v>
      </c>
      <c r="E383" s="717" t="s">
        <v>725</v>
      </c>
      <c r="F383" s="718" t="s">
        <v>887</v>
      </c>
      <c r="H383" s="717" t="s">
        <v>725</v>
      </c>
      <c r="K383" s="719"/>
      <c r="L383" s="714"/>
      <c r="M383" s="720"/>
      <c r="T383" s="721"/>
      <c r="AT383" s="717" t="s">
        <v>868</v>
      </c>
      <c r="AU383" s="717" t="s">
        <v>101</v>
      </c>
      <c r="AV383" s="715" t="s">
        <v>99</v>
      </c>
      <c r="AW383" s="715" t="s">
        <v>870</v>
      </c>
      <c r="AX383" s="715" t="s">
        <v>301</v>
      </c>
      <c r="AY383" s="717" t="s">
        <v>863</v>
      </c>
    </row>
    <row r="384" spans="2:65" s="715" customFormat="1" ht="11.4" x14ac:dyDescent="0.25">
      <c r="B384" s="714"/>
      <c r="D384" s="716" t="s">
        <v>868</v>
      </c>
      <c r="E384" s="717" t="s">
        <v>725</v>
      </c>
      <c r="F384" s="718" t="s">
        <v>888</v>
      </c>
      <c r="H384" s="717" t="s">
        <v>725</v>
      </c>
      <c r="K384" s="719"/>
      <c r="L384" s="714"/>
      <c r="M384" s="720"/>
      <c r="T384" s="721"/>
      <c r="AT384" s="717" t="s">
        <v>868</v>
      </c>
      <c r="AU384" s="717" t="s">
        <v>101</v>
      </c>
      <c r="AV384" s="715" t="s">
        <v>99</v>
      </c>
      <c r="AW384" s="715" t="s">
        <v>870</v>
      </c>
      <c r="AX384" s="715" t="s">
        <v>301</v>
      </c>
      <c r="AY384" s="717" t="s">
        <v>863</v>
      </c>
    </row>
    <row r="385" spans="2:65" s="723" customFormat="1" ht="11.4" x14ac:dyDescent="0.25">
      <c r="B385" s="722"/>
      <c r="D385" s="716" t="s">
        <v>868</v>
      </c>
      <c r="E385" s="724" t="s">
        <v>725</v>
      </c>
      <c r="F385" s="725" t="s">
        <v>721</v>
      </c>
      <c r="H385" s="726">
        <v>33.49</v>
      </c>
      <c r="K385" s="727"/>
      <c r="L385" s="722"/>
      <c r="M385" s="728"/>
      <c r="T385" s="729"/>
      <c r="AT385" s="724" t="s">
        <v>868</v>
      </c>
      <c r="AU385" s="724" t="s">
        <v>101</v>
      </c>
      <c r="AV385" s="723" t="s">
        <v>101</v>
      </c>
      <c r="AW385" s="723" t="s">
        <v>870</v>
      </c>
      <c r="AX385" s="723" t="s">
        <v>301</v>
      </c>
      <c r="AY385" s="724" t="s">
        <v>863</v>
      </c>
    </row>
    <row r="386" spans="2:65" s="723" customFormat="1" ht="11.4" x14ac:dyDescent="0.25">
      <c r="B386" s="722"/>
      <c r="D386" s="716" t="s">
        <v>868</v>
      </c>
      <c r="E386" s="724" t="s">
        <v>725</v>
      </c>
      <c r="F386" s="725" t="s">
        <v>718</v>
      </c>
      <c r="H386" s="726">
        <v>85.13</v>
      </c>
      <c r="K386" s="727"/>
      <c r="L386" s="722"/>
      <c r="M386" s="728"/>
      <c r="T386" s="729"/>
      <c r="AT386" s="724" t="s">
        <v>868</v>
      </c>
      <c r="AU386" s="724" t="s">
        <v>101</v>
      </c>
      <c r="AV386" s="723" t="s">
        <v>101</v>
      </c>
      <c r="AW386" s="723" t="s">
        <v>870</v>
      </c>
      <c r="AX386" s="723" t="s">
        <v>301</v>
      </c>
      <c r="AY386" s="724" t="s">
        <v>863</v>
      </c>
    </row>
    <row r="387" spans="2:65" s="731" customFormat="1" ht="11.4" x14ac:dyDescent="0.25">
      <c r="B387" s="730"/>
      <c r="D387" s="716" t="s">
        <v>868</v>
      </c>
      <c r="E387" s="732" t="s">
        <v>725</v>
      </c>
      <c r="F387" s="733" t="s">
        <v>873</v>
      </c>
      <c r="H387" s="734">
        <v>118.62</v>
      </c>
      <c r="K387" s="735"/>
      <c r="L387" s="730"/>
      <c r="M387" s="736"/>
      <c r="T387" s="737"/>
      <c r="AT387" s="732" t="s">
        <v>868</v>
      </c>
      <c r="AU387" s="732" t="s">
        <v>101</v>
      </c>
      <c r="AV387" s="731" t="s">
        <v>103</v>
      </c>
      <c r="AW387" s="731" t="s">
        <v>870</v>
      </c>
      <c r="AX387" s="731" t="s">
        <v>99</v>
      </c>
      <c r="AY387" s="732" t="s">
        <v>863</v>
      </c>
    </row>
    <row r="388" spans="2:65" s="163" customFormat="1" ht="24.6" customHeight="1" x14ac:dyDescent="0.25">
      <c r="B388" s="702"/>
      <c r="C388" s="703" t="s">
        <v>1070</v>
      </c>
      <c r="D388" s="703" t="s">
        <v>864</v>
      </c>
      <c r="E388" s="704" t="s">
        <v>1071</v>
      </c>
      <c r="F388" s="705" t="s">
        <v>1072</v>
      </c>
      <c r="G388" s="706" t="s">
        <v>15</v>
      </c>
      <c r="H388" s="707">
        <v>152.11000000000001</v>
      </c>
      <c r="I388" s="708"/>
      <c r="J388" s="708">
        <f>ROUND(I388*H388,2)</f>
        <v>0</v>
      </c>
      <c r="K388" s="705" t="s">
        <v>2622</v>
      </c>
      <c r="L388" s="164"/>
      <c r="M388" s="709" t="s">
        <v>725</v>
      </c>
      <c r="N388" s="710" t="s">
        <v>813</v>
      </c>
      <c r="O388" s="711">
        <v>2E-3</v>
      </c>
      <c r="P388" s="711">
        <f>O388*H388</f>
        <v>0.30422000000000005</v>
      </c>
      <c r="Q388" s="711">
        <v>0</v>
      </c>
      <c r="R388" s="711">
        <f>Q388*H388</f>
        <v>0</v>
      </c>
      <c r="S388" s="711">
        <v>0</v>
      </c>
      <c r="T388" s="712">
        <f>S388*H388</f>
        <v>0</v>
      </c>
      <c r="AR388" s="668" t="s">
        <v>103</v>
      </c>
      <c r="AT388" s="668" t="s">
        <v>864</v>
      </c>
      <c r="AU388" s="668" t="s">
        <v>101</v>
      </c>
      <c r="AY388" s="157" t="s">
        <v>863</v>
      </c>
      <c r="BE388" s="713">
        <f>IF(N388="základní",J388,0)</f>
        <v>0</v>
      </c>
      <c r="BF388" s="713">
        <f>IF(N388="snížená",J388,0)</f>
        <v>0</v>
      </c>
      <c r="BG388" s="713">
        <f>IF(N388="zákl. přenesená",J388,0)</f>
        <v>0</v>
      </c>
      <c r="BH388" s="713">
        <f>IF(N388="sníž. přenesená",J388,0)</f>
        <v>0</v>
      </c>
      <c r="BI388" s="713">
        <f>IF(N388="nulová",J388,0)</f>
        <v>0</v>
      </c>
      <c r="BJ388" s="157" t="s">
        <v>99</v>
      </c>
      <c r="BK388" s="713">
        <f>ROUND(I388*H388,2)</f>
        <v>0</v>
      </c>
      <c r="BL388" s="157" t="s">
        <v>103</v>
      </c>
      <c r="BM388" s="668" t="s">
        <v>1073</v>
      </c>
    </row>
    <row r="389" spans="2:65" s="715" customFormat="1" ht="11.4" x14ac:dyDescent="0.25">
      <c r="B389" s="714"/>
      <c r="D389" s="716" t="s">
        <v>868</v>
      </c>
      <c r="E389" s="717" t="s">
        <v>725</v>
      </c>
      <c r="F389" s="718" t="s">
        <v>881</v>
      </c>
      <c r="H389" s="717" t="s">
        <v>725</v>
      </c>
      <c r="K389" s="719"/>
      <c r="L389" s="714"/>
      <c r="M389" s="720"/>
      <c r="T389" s="721"/>
      <c r="AT389" s="717" t="s">
        <v>868</v>
      </c>
      <c r="AU389" s="717" t="s">
        <v>101</v>
      </c>
      <c r="AV389" s="715" t="s">
        <v>99</v>
      </c>
      <c r="AW389" s="715" t="s">
        <v>870</v>
      </c>
      <c r="AX389" s="715" t="s">
        <v>301</v>
      </c>
      <c r="AY389" s="717" t="s">
        <v>863</v>
      </c>
    </row>
    <row r="390" spans="2:65" s="715" customFormat="1" ht="11.4" x14ac:dyDescent="0.25">
      <c r="B390" s="714"/>
      <c r="D390" s="716" t="s">
        <v>868</v>
      </c>
      <c r="E390" s="717" t="s">
        <v>725</v>
      </c>
      <c r="F390" s="718" t="s">
        <v>869</v>
      </c>
      <c r="H390" s="717" t="s">
        <v>725</v>
      </c>
      <c r="K390" s="719"/>
      <c r="L390" s="714"/>
      <c r="M390" s="720"/>
      <c r="T390" s="721"/>
      <c r="AT390" s="717" t="s">
        <v>868</v>
      </c>
      <c r="AU390" s="717" t="s">
        <v>101</v>
      </c>
      <c r="AV390" s="715" t="s">
        <v>99</v>
      </c>
      <c r="AW390" s="715" t="s">
        <v>870</v>
      </c>
      <c r="AX390" s="715" t="s">
        <v>301</v>
      </c>
      <c r="AY390" s="717" t="s">
        <v>863</v>
      </c>
    </row>
    <row r="391" spans="2:65" s="715" customFormat="1" ht="11.4" x14ac:dyDescent="0.25">
      <c r="B391" s="714"/>
      <c r="D391" s="716" t="s">
        <v>868</v>
      </c>
      <c r="E391" s="717" t="s">
        <v>725</v>
      </c>
      <c r="F391" s="718" t="s">
        <v>887</v>
      </c>
      <c r="H391" s="717" t="s">
        <v>725</v>
      </c>
      <c r="K391" s="719"/>
      <c r="L391" s="714"/>
      <c r="M391" s="720"/>
      <c r="T391" s="721"/>
      <c r="AT391" s="717" t="s">
        <v>868</v>
      </c>
      <c r="AU391" s="717" t="s">
        <v>101</v>
      </c>
      <c r="AV391" s="715" t="s">
        <v>99</v>
      </c>
      <c r="AW391" s="715" t="s">
        <v>870</v>
      </c>
      <c r="AX391" s="715" t="s">
        <v>301</v>
      </c>
      <c r="AY391" s="717" t="s">
        <v>863</v>
      </c>
    </row>
    <row r="392" spans="2:65" s="715" customFormat="1" ht="11.4" x14ac:dyDescent="0.25">
      <c r="B392" s="714"/>
      <c r="D392" s="716" t="s">
        <v>868</v>
      </c>
      <c r="E392" s="717" t="s">
        <v>725</v>
      </c>
      <c r="F392" s="718" t="s">
        <v>888</v>
      </c>
      <c r="H392" s="717" t="s">
        <v>725</v>
      </c>
      <c r="K392" s="719"/>
      <c r="L392" s="714"/>
      <c r="M392" s="720"/>
      <c r="T392" s="721"/>
      <c r="AT392" s="717" t="s">
        <v>868</v>
      </c>
      <c r="AU392" s="717" t="s">
        <v>101</v>
      </c>
      <c r="AV392" s="715" t="s">
        <v>99</v>
      </c>
      <c r="AW392" s="715" t="s">
        <v>870</v>
      </c>
      <c r="AX392" s="715" t="s">
        <v>301</v>
      </c>
      <c r="AY392" s="717" t="s">
        <v>863</v>
      </c>
    </row>
    <row r="393" spans="2:65" s="723" customFormat="1" ht="11.4" x14ac:dyDescent="0.25">
      <c r="B393" s="722"/>
      <c r="D393" s="716" t="s">
        <v>868</v>
      </c>
      <c r="E393" s="724" t="s">
        <v>725</v>
      </c>
      <c r="F393" s="725" t="s">
        <v>1074</v>
      </c>
      <c r="H393" s="726">
        <v>66.98</v>
      </c>
      <c r="K393" s="727"/>
      <c r="L393" s="722"/>
      <c r="M393" s="728"/>
      <c r="T393" s="729"/>
      <c r="AT393" s="724" t="s">
        <v>868</v>
      </c>
      <c r="AU393" s="724" t="s">
        <v>101</v>
      </c>
      <c r="AV393" s="723" t="s">
        <v>101</v>
      </c>
      <c r="AW393" s="723" t="s">
        <v>870</v>
      </c>
      <c r="AX393" s="723" t="s">
        <v>301</v>
      </c>
      <c r="AY393" s="724" t="s">
        <v>863</v>
      </c>
    </row>
    <row r="394" spans="2:65" s="723" customFormat="1" ht="11.4" x14ac:dyDescent="0.25">
      <c r="B394" s="722"/>
      <c r="D394" s="716" t="s">
        <v>868</v>
      </c>
      <c r="E394" s="724" t="s">
        <v>725</v>
      </c>
      <c r="F394" s="725" t="s">
        <v>718</v>
      </c>
      <c r="H394" s="726">
        <v>85.13</v>
      </c>
      <c r="K394" s="727"/>
      <c r="L394" s="722"/>
      <c r="M394" s="728"/>
      <c r="T394" s="729"/>
      <c r="AT394" s="724" t="s">
        <v>868</v>
      </c>
      <c r="AU394" s="724" t="s">
        <v>101</v>
      </c>
      <c r="AV394" s="723" t="s">
        <v>101</v>
      </c>
      <c r="AW394" s="723" t="s">
        <v>870</v>
      </c>
      <c r="AX394" s="723" t="s">
        <v>301</v>
      </c>
      <c r="AY394" s="724" t="s">
        <v>863</v>
      </c>
    </row>
    <row r="395" spans="2:65" s="731" customFormat="1" ht="11.4" x14ac:dyDescent="0.25">
      <c r="B395" s="730"/>
      <c r="D395" s="716" t="s">
        <v>868</v>
      </c>
      <c r="E395" s="732" t="s">
        <v>725</v>
      </c>
      <c r="F395" s="733" t="s">
        <v>873</v>
      </c>
      <c r="H395" s="734">
        <v>152.11000000000001</v>
      </c>
      <c r="K395" s="735"/>
      <c r="L395" s="730"/>
      <c r="M395" s="736"/>
      <c r="T395" s="737"/>
      <c r="AT395" s="732" t="s">
        <v>868</v>
      </c>
      <c r="AU395" s="732" t="s">
        <v>101</v>
      </c>
      <c r="AV395" s="731" t="s">
        <v>103</v>
      </c>
      <c r="AW395" s="731" t="s">
        <v>870</v>
      </c>
      <c r="AX395" s="731" t="s">
        <v>99</v>
      </c>
      <c r="AY395" s="732" t="s">
        <v>863</v>
      </c>
    </row>
    <row r="396" spans="2:65" s="163" customFormat="1" ht="28.95" customHeight="1" x14ac:dyDescent="0.25">
      <c r="B396" s="702"/>
      <c r="C396" s="703" t="s">
        <v>1075</v>
      </c>
      <c r="D396" s="703" t="s">
        <v>864</v>
      </c>
      <c r="E396" s="704" t="s">
        <v>1076</v>
      </c>
      <c r="F396" s="705" t="s">
        <v>1077</v>
      </c>
      <c r="G396" s="706" t="s">
        <v>15</v>
      </c>
      <c r="H396" s="707">
        <v>118.62</v>
      </c>
      <c r="I396" s="708"/>
      <c r="J396" s="708">
        <f>ROUND(I396*H396,2)</f>
        <v>0</v>
      </c>
      <c r="K396" s="705" t="s">
        <v>2622</v>
      </c>
      <c r="L396" s="164"/>
      <c r="M396" s="709" t="s">
        <v>725</v>
      </c>
      <c r="N396" s="710" t="s">
        <v>813</v>
      </c>
      <c r="O396" s="711">
        <v>6.6000000000000003E-2</v>
      </c>
      <c r="P396" s="711">
        <f>O396*H396</f>
        <v>7.828920000000001</v>
      </c>
      <c r="Q396" s="711">
        <v>0</v>
      </c>
      <c r="R396" s="711">
        <f>Q396*H396</f>
        <v>0</v>
      </c>
      <c r="S396" s="711">
        <v>0</v>
      </c>
      <c r="T396" s="712">
        <f>S396*H396</f>
        <v>0</v>
      </c>
      <c r="AR396" s="668" t="s">
        <v>103</v>
      </c>
      <c r="AT396" s="668" t="s">
        <v>864</v>
      </c>
      <c r="AU396" s="668" t="s">
        <v>101</v>
      </c>
      <c r="AY396" s="157" t="s">
        <v>863</v>
      </c>
      <c r="BE396" s="713">
        <f>IF(N396="základní",J396,0)</f>
        <v>0</v>
      </c>
      <c r="BF396" s="713">
        <f>IF(N396="snížená",J396,0)</f>
        <v>0</v>
      </c>
      <c r="BG396" s="713">
        <f>IF(N396="zákl. přenesená",J396,0)</f>
        <v>0</v>
      </c>
      <c r="BH396" s="713">
        <f>IF(N396="sníž. přenesená",J396,0)</f>
        <v>0</v>
      </c>
      <c r="BI396" s="713">
        <f>IF(N396="nulová",J396,0)</f>
        <v>0</v>
      </c>
      <c r="BJ396" s="157" t="s">
        <v>99</v>
      </c>
      <c r="BK396" s="713">
        <f>ROUND(I396*H396,2)</f>
        <v>0</v>
      </c>
      <c r="BL396" s="157" t="s">
        <v>103</v>
      </c>
      <c r="BM396" s="668" t="s">
        <v>1078</v>
      </c>
    </row>
    <row r="397" spans="2:65" s="715" customFormat="1" ht="11.4" x14ac:dyDescent="0.25">
      <c r="B397" s="714"/>
      <c r="D397" s="716" t="s">
        <v>868</v>
      </c>
      <c r="E397" s="717" t="s">
        <v>725</v>
      </c>
      <c r="F397" s="718" t="s">
        <v>881</v>
      </c>
      <c r="H397" s="717" t="s">
        <v>725</v>
      </c>
      <c r="K397" s="719"/>
      <c r="L397" s="714"/>
      <c r="M397" s="720"/>
      <c r="T397" s="721"/>
      <c r="AT397" s="717" t="s">
        <v>868</v>
      </c>
      <c r="AU397" s="717" t="s">
        <v>101</v>
      </c>
      <c r="AV397" s="715" t="s">
        <v>99</v>
      </c>
      <c r="AW397" s="715" t="s">
        <v>870</v>
      </c>
      <c r="AX397" s="715" t="s">
        <v>301</v>
      </c>
      <c r="AY397" s="717" t="s">
        <v>863</v>
      </c>
    </row>
    <row r="398" spans="2:65" s="715" customFormat="1" ht="11.4" x14ac:dyDescent="0.25">
      <c r="B398" s="714"/>
      <c r="D398" s="716" t="s">
        <v>868</v>
      </c>
      <c r="E398" s="717" t="s">
        <v>725</v>
      </c>
      <c r="F398" s="718" t="s">
        <v>869</v>
      </c>
      <c r="H398" s="717" t="s">
        <v>725</v>
      </c>
      <c r="K398" s="719"/>
      <c r="L398" s="714"/>
      <c r="M398" s="720"/>
      <c r="T398" s="721"/>
      <c r="AT398" s="717" t="s">
        <v>868</v>
      </c>
      <c r="AU398" s="717" t="s">
        <v>101</v>
      </c>
      <c r="AV398" s="715" t="s">
        <v>99</v>
      </c>
      <c r="AW398" s="715" t="s">
        <v>870</v>
      </c>
      <c r="AX398" s="715" t="s">
        <v>301</v>
      </c>
      <c r="AY398" s="717" t="s">
        <v>863</v>
      </c>
    </row>
    <row r="399" spans="2:65" s="715" customFormat="1" ht="11.4" x14ac:dyDescent="0.25">
      <c r="B399" s="714"/>
      <c r="D399" s="716" t="s">
        <v>868</v>
      </c>
      <c r="E399" s="717" t="s">
        <v>725</v>
      </c>
      <c r="F399" s="718" t="s">
        <v>887</v>
      </c>
      <c r="H399" s="717" t="s">
        <v>725</v>
      </c>
      <c r="K399" s="719"/>
      <c r="L399" s="714"/>
      <c r="M399" s="720"/>
      <c r="T399" s="721"/>
      <c r="AT399" s="717" t="s">
        <v>868</v>
      </c>
      <c r="AU399" s="717" t="s">
        <v>101</v>
      </c>
      <c r="AV399" s="715" t="s">
        <v>99</v>
      </c>
      <c r="AW399" s="715" t="s">
        <v>870</v>
      </c>
      <c r="AX399" s="715" t="s">
        <v>301</v>
      </c>
      <c r="AY399" s="717" t="s">
        <v>863</v>
      </c>
    </row>
    <row r="400" spans="2:65" s="715" customFormat="1" ht="11.4" x14ac:dyDescent="0.25">
      <c r="B400" s="714"/>
      <c r="D400" s="716" t="s">
        <v>868</v>
      </c>
      <c r="E400" s="717" t="s">
        <v>725</v>
      </c>
      <c r="F400" s="718" t="s">
        <v>888</v>
      </c>
      <c r="H400" s="717" t="s">
        <v>725</v>
      </c>
      <c r="K400" s="719"/>
      <c r="L400" s="714"/>
      <c r="M400" s="720"/>
      <c r="T400" s="721"/>
      <c r="AT400" s="717" t="s">
        <v>868</v>
      </c>
      <c r="AU400" s="717" t="s">
        <v>101</v>
      </c>
      <c r="AV400" s="715" t="s">
        <v>99</v>
      </c>
      <c r="AW400" s="715" t="s">
        <v>870</v>
      </c>
      <c r="AX400" s="715" t="s">
        <v>301</v>
      </c>
      <c r="AY400" s="717" t="s">
        <v>863</v>
      </c>
    </row>
    <row r="401" spans="2:65" s="723" customFormat="1" ht="11.4" x14ac:dyDescent="0.25">
      <c r="B401" s="722"/>
      <c r="D401" s="716" t="s">
        <v>868</v>
      </c>
      <c r="E401" s="724" t="s">
        <v>725</v>
      </c>
      <c r="F401" s="725" t="s">
        <v>721</v>
      </c>
      <c r="H401" s="726">
        <v>33.49</v>
      </c>
      <c r="K401" s="727"/>
      <c r="L401" s="722"/>
      <c r="M401" s="728"/>
      <c r="T401" s="729"/>
      <c r="AT401" s="724" t="s">
        <v>868</v>
      </c>
      <c r="AU401" s="724" t="s">
        <v>101</v>
      </c>
      <c r="AV401" s="723" t="s">
        <v>101</v>
      </c>
      <c r="AW401" s="723" t="s">
        <v>870</v>
      </c>
      <c r="AX401" s="723" t="s">
        <v>301</v>
      </c>
      <c r="AY401" s="724" t="s">
        <v>863</v>
      </c>
    </row>
    <row r="402" spans="2:65" s="723" customFormat="1" ht="11.4" x14ac:dyDescent="0.25">
      <c r="B402" s="722"/>
      <c r="D402" s="716" t="s">
        <v>868</v>
      </c>
      <c r="E402" s="724" t="s">
        <v>725</v>
      </c>
      <c r="F402" s="725" t="s">
        <v>718</v>
      </c>
      <c r="H402" s="726">
        <v>85.13</v>
      </c>
      <c r="K402" s="727"/>
      <c r="L402" s="722"/>
      <c r="M402" s="728"/>
      <c r="T402" s="729"/>
      <c r="AT402" s="724" t="s">
        <v>868</v>
      </c>
      <c r="AU402" s="724" t="s">
        <v>101</v>
      </c>
      <c r="AV402" s="723" t="s">
        <v>101</v>
      </c>
      <c r="AW402" s="723" t="s">
        <v>870</v>
      </c>
      <c r="AX402" s="723" t="s">
        <v>301</v>
      </c>
      <c r="AY402" s="724" t="s">
        <v>863</v>
      </c>
    </row>
    <row r="403" spans="2:65" s="731" customFormat="1" ht="11.4" x14ac:dyDescent="0.25">
      <c r="B403" s="730"/>
      <c r="D403" s="716" t="s">
        <v>868</v>
      </c>
      <c r="E403" s="732" t="s">
        <v>725</v>
      </c>
      <c r="F403" s="733" t="s">
        <v>873</v>
      </c>
      <c r="H403" s="734">
        <v>118.62</v>
      </c>
      <c r="K403" s="735"/>
      <c r="L403" s="730"/>
      <c r="M403" s="736"/>
      <c r="T403" s="737"/>
      <c r="AT403" s="732" t="s">
        <v>868</v>
      </c>
      <c r="AU403" s="732" t="s">
        <v>101</v>
      </c>
      <c r="AV403" s="731" t="s">
        <v>103</v>
      </c>
      <c r="AW403" s="731" t="s">
        <v>870</v>
      </c>
      <c r="AX403" s="731" t="s">
        <v>99</v>
      </c>
      <c r="AY403" s="732" t="s">
        <v>863</v>
      </c>
    </row>
    <row r="404" spans="2:65" s="163" customFormat="1" ht="27.6" customHeight="1" x14ac:dyDescent="0.25">
      <c r="B404" s="702"/>
      <c r="C404" s="703" t="s">
        <v>1079</v>
      </c>
      <c r="D404" s="703" t="s">
        <v>864</v>
      </c>
      <c r="E404" s="704" t="s">
        <v>1080</v>
      </c>
      <c r="F404" s="705" t="s">
        <v>1081</v>
      </c>
      <c r="G404" s="706" t="s">
        <v>15</v>
      </c>
      <c r="H404" s="707">
        <v>118.62</v>
      </c>
      <c r="I404" s="708"/>
      <c r="J404" s="708">
        <f>ROUND(I404*H404,2)</f>
        <v>0</v>
      </c>
      <c r="K404" s="705" t="s">
        <v>2622</v>
      </c>
      <c r="L404" s="164"/>
      <c r="M404" s="709" t="s">
        <v>725</v>
      </c>
      <c r="N404" s="710" t="s">
        <v>813</v>
      </c>
      <c r="O404" s="711">
        <v>0.08</v>
      </c>
      <c r="P404" s="711">
        <f>O404*H404</f>
        <v>9.4896000000000011</v>
      </c>
      <c r="Q404" s="711">
        <v>0</v>
      </c>
      <c r="R404" s="711">
        <f>Q404*H404</f>
        <v>0</v>
      </c>
      <c r="S404" s="711">
        <v>0</v>
      </c>
      <c r="T404" s="712">
        <f>S404*H404</f>
        <v>0</v>
      </c>
      <c r="AR404" s="668" t="s">
        <v>103</v>
      </c>
      <c r="AT404" s="668" t="s">
        <v>864</v>
      </c>
      <c r="AU404" s="668" t="s">
        <v>101</v>
      </c>
      <c r="AY404" s="157" t="s">
        <v>863</v>
      </c>
      <c r="BE404" s="713">
        <f>IF(N404="základní",J404,0)</f>
        <v>0</v>
      </c>
      <c r="BF404" s="713">
        <f>IF(N404="snížená",J404,0)</f>
        <v>0</v>
      </c>
      <c r="BG404" s="713">
        <f>IF(N404="zákl. přenesená",J404,0)</f>
        <v>0</v>
      </c>
      <c r="BH404" s="713">
        <f>IF(N404="sníž. přenesená",J404,0)</f>
        <v>0</v>
      </c>
      <c r="BI404" s="713">
        <f>IF(N404="nulová",J404,0)</f>
        <v>0</v>
      </c>
      <c r="BJ404" s="157" t="s">
        <v>99</v>
      </c>
      <c r="BK404" s="713">
        <f>ROUND(I404*H404,2)</f>
        <v>0</v>
      </c>
      <c r="BL404" s="157" t="s">
        <v>103</v>
      </c>
      <c r="BM404" s="668" t="s">
        <v>1082</v>
      </c>
    </row>
    <row r="405" spans="2:65" s="715" customFormat="1" ht="11.4" x14ac:dyDescent="0.25">
      <c r="B405" s="714"/>
      <c r="D405" s="716" t="s">
        <v>868</v>
      </c>
      <c r="E405" s="717" t="s">
        <v>725</v>
      </c>
      <c r="F405" s="718" t="s">
        <v>881</v>
      </c>
      <c r="H405" s="717" t="s">
        <v>725</v>
      </c>
      <c r="K405" s="719"/>
      <c r="L405" s="714"/>
      <c r="M405" s="720"/>
      <c r="T405" s="721"/>
      <c r="AT405" s="717" t="s">
        <v>868</v>
      </c>
      <c r="AU405" s="717" t="s">
        <v>101</v>
      </c>
      <c r="AV405" s="715" t="s">
        <v>99</v>
      </c>
      <c r="AW405" s="715" t="s">
        <v>870</v>
      </c>
      <c r="AX405" s="715" t="s">
        <v>301</v>
      </c>
      <c r="AY405" s="717" t="s">
        <v>863</v>
      </c>
    </row>
    <row r="406" spans="2:65" s="715" customFormat="1" ht="11.4" x14ac:dyDescent="0.25">
      <c r="B406" s="714"/>
      <c r="D406" s="716" t="s">
        <v>868</v>
      </c>
      <c r="E406" s="717" t="s">
        <v>725</v>
      </c>
      <c r="F406" s="718" t="s">
        <v>869</v>
      </c>
      <c r="H406" s="717" t="s">
        <v>725</v>
      </c>
      <c r="K406" s="719"/>
      <c r="L406" s="714"/>
      <c r="M406" s="720"/>
      <c r="T406" s="721"/>
      <c r="AT406" s="717" t="s">
        <v>868</v>
      </c>
      <c r="AU406" s="717" t="s">
        <v>101</v>
      </c>
      <c r="AV406" s="715" t="s">
        <v>99</v>
      </c>
      <c r="AW406" s="715" t="s">
        <v>870</v>
      </c>
      <c r="AX406" s="715" t="s">
        <v>301</v>
      </c>
      <c r="AY406" s="717" t="s">
        <v>863</v>
      </c>
    </row>
    <row r="407" spans="2:65" s="715" customFormat="1" ht="11.4" x14ac:dyDescent="0.25">
      <c r="B407" s="714"/>
      <c r="D407" s="716" t="s">
        <v>868</v>
      </c>
      <c r="E407" s="717" t="s">
        <v>725</v>
      </c>
      <c r="F407" s="718" t="s">
        <v>887</v>
      </c>
      <c r="H407" s="717" t="s">
        <v>725</v>
      </c>
      <c r="K407" s="719"/>
      <c r="L407" s="714"/>
      <c r="M407" s="720"/>
      <c r="T407" s="721"/>
      <c r="AT407" s="717" t="s">
        <v>868</v>
      </c>
      <c r="AU407" s="717" t="s">
        <v>101</v>
      </c>
      <c r="AV407" s="715" t="s">
        <v>99</v>
      </c>
      <c r="AW407" s="715" t="s">
        <v>870</v>
      </c>
      <c r="AX407" s="715" t="s">
        <v>301</v>
      </c>
      <c r="AY407" s="717" t="s">
        <v>863</v>
      </c>
    </row>
    <row r="408" spans="2:65" s="715" customFormat="1" ht="11.4" x14ac:dyDescent="0.25">
      <c r="B408" s="714"/>
      <c r="D408" s="716" t="s">
        <v>868</v>
      </c>
      <c r="E408" s="717" t="s">
        <v>725</v>
      </c>
      <c r="F408" s="718" t="s">
        <v>888</v>
      </c>
      <c r="H408" s="717" t="s">
        <v>725</v>
      </c>
      <c r="K408" s="719"/>
      <c r="L408" s="714"/>
      <c r="M408" s="720"/>
      <c r="T408" s="721"/>
      <c r="AT408" s="717" t="s">
        <v>868</v>
      </c>
      <c r="AU408" s="717" t="s">
        <v>101</v>
      </c>
      <c r="AV408" s="715" t="s">
        <v>99</v>
      </c>
      <c r="AW408" s="715" t="s">
        <v>870</v>
      </c>
      <c r="AX408" s="715" t="s">
        <v>301</v>
      </c>
      <c r="AY408" s="717" t="s">
        <v>863</v>
      </c>
    </row>
    <row r="409" spans="2:65" s="723" customFormat="1" ht="11.4" x14ac:dyDescent="0.25">
      <c r="B409" s="722"/>
      <c r="D409" s="716" t="s">
        <v>868</v>
      </c>
      <c r="E409" s="724" t="s">
        <v>725</v>
      </c>
      <c r="F409" s="725" t="s">
        <v>721</v>
      </c>
      <c r="H409" s="726">
        <v>33.49</v>
      </c>
      <c r="K409" s="727"/>
      <c r="L409" s="722"/>
      <c r="M409" s="728"/>
      <c r="T409" s="729"/>
      <c r="AT409" s="724" t="s">
        <v>868</v>
      </c>
      <c r="AU409" s="724" t="s">
        <v>101</v>
      </c>
      <c r="AV409" s="723" t="s">
        <v>101</v>
      </c>
      <c r="AW409" s="723" t="s">
        <v>870</v>
      </c>
      <c r="AX409" s="723" t="s">
        <v>301</v>
      </c>
      <c r="AY409" s="724" t="s">
        <v>863</v>
      </c>
    </row>
    <row r="410" spans="2:65" s="723" customFormat="1" ht="11.4" x14ac:dyDescent="0.25">
      <c r="B410" s="722"/>
      <c r="D410" s="716" t="s">
        <v>868</v>
      </c>
      <c r="E410" s="724" t="s">
        <v>725</v>
      </c>
      <c r="F410" s="725" t="s">
        <v>718</v>
      </c>
      <c r="H410" s="726">
        <v>85.13</v>
      </c>
      <c r="K410" s="727"/>
      <c r="L410" s="722"/>
      <c r="M410" s="728"/>
      <c r="T410" s="729"/>
      <c r="AT410" s="724" t="s">
        <v>868</v>
      </c>
      <c r="AU410" s="724" t="s">
        <v>101</v>
      </c>
      <c r="AV410" s="723" t="s">
        <v>101</v>
      </c>
      <c r="AW410" s="723" t="s">
        <v>870</v>
      </c>
      <c r="AX410" s="723" t="s">
        <v>301</v>
      </c>
      <c r="AY410" s="724" t="s">
        <v>863</v>
      </c>
    </row>
    <row r="411" spans="2:65" s="731" customFormat="1" ht="11.4" x14ac:dyDescent="0.25">
      <c r="B411" s="730"/>
      <c r="D411" s="716" t="s">
        <v>868</v>
      </c>
      <c r="E411" s="732" t="s">
        <v>725</v>
      </c>
      <c r="F411" s="733" t="s">
        <v>873</v>
      </c>
      <c r="H411" s="734">
        <v>118.62</v>
      </c>
      <c r="K411" s="735"/>
      <c r="L411" s="730"/>
      <c r="M411" s="736"/>
      <c r="T411" s="737"/>
      <c r="AT411" s="732" t="s">
        <v>868</v>
      </c>
      <c r="AU411" s="732" t="s">
        <v>101</v>
      </c>
      <c r="AV411" s="731" t="s">
        <v>103</v>
      </c>
      <c r="AW411" s="731" t="s">
        <v>870</v>
      </c>
      <c r="AX411" s="731" t="s">
        <v>99</v>
      </c>
      <c r="AY411" s="732" t="s">
        <v>863</v>
      </c>
    </row>
    <row r="412" spans="2:65" s="163" customFormat="1" ht="37.950000000000003" customHeight="1" x14ac:dyDescent="0.25">
      <c r="B412" s="702"/>
      <c r="C412" s="703" t="s">
        <v>1083</v>
      </c>
      <c r="D412" s="703" t="s">
        <v>864</v>
      </c>
      <c r="E412" s="704" t="s">
        <v>1084</v>
      </c>
      <c r="F412" s="705" t="s">
        <v>1085</v>
      </c>
      <c r="G412" s="706" t="s">
        <v>15</v>
      </c>
      <c r="H412" s="707">
        <v>19.25</v>
      </c>
      <c r="I412" s="708"/>
      <c r="J412" s="708">
        <f>ROUND(I412*H412,2)</f>
        <v>0</v>
      </c>
      <c r="K412" s="705" t="s">
        <v>2622</v>
      </c>
      <c r="L412" s="164"/>
      <c r="M412" s="709" t="s">
        <v>725</v>
      </c>
      <c r="N412" s="710" t="s">
        <v>813</v>
      </c>
      <c r="O412" s="711">
        <v>1.1060000000000001</v>
      </c>
      <c r="P412" s="711">
        <f>O412*H412</f>
        <v>21.290500000000002</v>
      </c>
      <c r="Q412" s="711">
        <v>0.1837</v>
      </c>
      <c r="R412" s="711">
        <f>Q412*H412</f>
        <v>3.536225</v>
      </c>
      <c r="S412" s="711">
        <v>0</v>
      </c>
      <c r="T412" s="712">
        <f>S412*H412</f>
        <v>0</v>
      </c>
      <c r="AR412" s="668" t="s">
        <v>103</v>
      </c>
      <c r="AT412" s="668" t="s">
        <v>864</v>
      </c>
      <c r="AU412" s="668" t="s">
        <v>101</v>
      </c>
      <c r="AY412" s="157" t="s">
        <v>863</v>
      </c>
      <c r="BE412" s="713">
        <f>IF(N412="základní",J412,0)</f>
        <v>0</v>
      </c>
      <c r="BF412" s="713">
        <f>IF(N412="snížená",J412,0)</f>
        <v>0</v>
      </c>
      <c r="BG412" s="713">
        <f>IF(N412="zákl. přenesená",J412,0)</f>
        <v>0</v>
      </c>
      <c r="BH412" s="713">
        <f>IF(N412="sníž. přenesená",J412,0)</f>
        <v>0</v>
      </c>
      <c r="BI412" s="713">
        <f>IF(N412="nulová",J412,0)</f>
        <v>0</v>
      </c>
      <c r="BJ412" s="157" t="s">
        <v>99</v>
      </c>
      <c r="BK412" s="713">
        <f>ROUND(I412*H412,2)</f>
        <v>0</v>
      </c>
      <c r="BL412" s="157" t="s">
        <v>103</v>
      </c>
      <c r="BM412" s="668" t="s">
        <v>1086</v>
      </c>
    </row>
    <row r="413" spans="2:65" s="715" customFormat="1" ht="11.4" x14ac:dyDescent="0.25">
      <c r="B413" s="714"/>
      <c r="D413" s="716" t="s">
        <v>868</v>
      </c>
      <c r="E413" s="717" t="s">
        <v>725</v>
      </c>
      <c r="F413" s="718" t="s">
        <v>881</v>
      </c>
      <c r="H413" s="717" t="s">
        <v>725</v>
      </c>
      <c r="K413" s="719"/>
      <c r="L413" s="714"/>
      <c r="M413" s="720"/>
      <c r="T413" s="721"/>
      <c r="AT413" s="717" t="s">
        <v>868</v>
      </c>
      <c r="AU413" s="717" t="s">
        <v>101</v>
      </c>
      <c r="AV413" s="715" t="s">
        <v>99</v>
      </c>
      <c r="AW413" s="715" t="s">
        <v>870</v>
      </c>
      <c r="AX413" s="715" t="s">
        <v>301</v>
      </c>
      <c r="AY413" s="717" t="s">
        <v>863</v>
      </c>
    </row>
    <row r="414" spans="2:65" s="715" customFormat="1" ht="11.4" x14ac:dyDescent="0.25">
      <c r="B414" s="714"/>
      <c r="D414" s="716" t="s">
        <v>868</v>
      </c>
      <c r="E414" s="717" t="s">
        <v>725</v>
      </c>
      <c r="F414" s="718" t="s">
        <v>869</v>
      </c>
      <c r="H414" s="717" t="s">
        <v>725</v>
      </c>
      <c r="K414" s="719"/>
      <c r="L414" s="714"/>
      <c r="M414" s="720"/>
      <c r="T414" s="721"/>
      <c r="AT414" s="717" t="s">
        <v>868</v>
      </c>
      <c r="AU414" s="717" t="s">
        <v>101</v>
      </c>
      <c r="AV414" s="715" t="s">
        <v>99</v>
      </c>
      <c r="AW414" s="715" t="s">
        <v>870</v>
      </c>
      <c r="AX414" s="715" t="s">
        <v>301</v>
      </c>
      <c r="AY414" s="717" t="s">
        <v>863</v>
      </c>
    </row>
    <row r="415" spans="2:65" s="715" customFormat="1" ht="11.4" x14ac:dyDescent="0.25">
      <c r="B415" s="714"/>
      <c r="D415" s="716" t="s">
        <v>868</v>
      </c>
      <c r="E415" s="717" t="s">
        <v>725</v>
      </c>
      <c r="F415" s="718" t="s">
        <v>887</v>
      </c>
      <c r="H415" s="717" t="s">
        <v>725</v>
      </c>
      <c r="K415" s="719"/>
      <c r="L415" s="714"/>
      <c r="M415" s="720"/>
      <c r="T415" s="721"/>
      <c r="AT415" s="717" t="s">
        <v>868</v>
      </c>
      <c r="AU415" s="717" t="s">
        <v>101</v>
      </c>
      <c r="AV415" s="715" t="s">
        <v>99</v>
      </c>
      <c r="AW415" s="715" t="s">
        <v>870</v>
      </c>
      <c r="AX415" s="715" t="s">
        <v>301</v>
      </c>
      <c r="AY415" s="717" t="s">
        <v>863</v>
      </c>
    </row>
    <row r="416" spans="2:65" s="715" customFormat="1" ht="11.4" x14ac:dyDescent="0.25">
      <c r="B416" s="714"/>
      <c r="D416" s="716" t="s">
        <v>868</v>
      </c>
      <c r="E416" s="717" t="s">
        <v>725</v>
      </c>
      <c r="F416" s="718" t="s">
        <v>888</v>
      </c>
      <c r="H416" s="717" t="s">
        <v>725</v>
      </c>
      <c r="K416" s="719"/>
      <c r="L416" s="714"/>
      <c r="M416" s="720"/>
      <c r="T416" s="721"/>
      <c r="AT416" s="717" t="s">
        <v>868</v>
      </c>
      <c r="AU416" s="717" t="s">
        <v>101</v>
      </c>
      <c r="AV416" s="715" t="s">
        <v>99</v>
      </c>
      <c r="AW416" s="715" t="s">
        <v>870</v>
      </c>
      <c r="AX416" s="715" t="s">
        <v>301</v>
      </c>
      <c r="AY416" s="717" t="s">
        <v>863</v>
      </c>
    </row>
    <row r="417" spans="2:65" s="723" customFormat="1" ht="11.4" x14ac:dyDescent="0.25">
      <c r="B417" s="722"/>
      <c r="D417" s="716" t="s">
        <v>868</v>
      </c>
      <c r="E417" s="724" t="s">
        <v>725</v>
      </c>
      <c r="F417" s="725" t="s">
        <v>700</v>
      </c>
      <c r="H417" s="726">
        <v>19.25</v>
      </c>
      <c r="K417" s="727"/>
      <c r="L417" s="722"/>
      <c r="M417" s="728"/>
      <c r="T417" s="729"/>
      <c r="AT417" s="724" t="s">
        <v>868</v>
      </c>
      <c r="AU417" s="724" t="s">
        <v>101</v>
      </c>
      <c r="AV417" s="723" t="s">
        <v>101</v>
      </c>
      <c r="AW417" s="723" t="s">
        <v>870</v>
      </c>
      <c r="AX417" s="723" t="s">
        <v>301</v>
      </c>
      <c r="AY417" s="724" t="s">
        <v>863</v>
      </c>
    </row>
    <row r="418" spans="2:65" s="731" customFormat="1" ht="11.4" x14ac:dyDescent="0.25">
      <c r="B418" s="730"/>
      <c r="D418" s="716" t="s">
        <v>868</v>
      </c>
      <c r="E418" s="732" t="s">
        <v>725</v>
      </c>
      <c r="F418" s="733" t="s">
        <v>873</v>
      </c>
      <c r="H418" s="734">
        <v>19.25</v>
      </c>
      <c r="K418" s="735"/>
      <c r="L418" s="730"/>
      <c r="M418" s="736"/>
      <c r="T418" s="737"/>
      <c r="AT418" s="732" t="s">
        <v>868</v>
      </c>
      <c r="AU418" s="732" t="s">
        <v>101</v>
      </c>
      <c r="AV418" s="731" t="s">
        <v>103</v>
      </c>
      <c r="AW418" s="731" t="s">
        <v>870</v>
      </c>
      <c r="AX418" s="731" t="s">
        <v>99</v>
      </c>
      <c r="AY418" s="732" t="s">
        <v>863</v>
      </c>
    </row>
    <row r="419" spans="2:65" s="163" customFormat="1" ht="14.4" customHeight="1" x14ac:dyDescent="0.25">
      <c r="B419" s="702"/>
      <c r="C419" s="738" t="s">
        <v>1087</v>
      </c>
      <c r="D419" s="738" t="s">
        <v>298</v>
      </c>
      <c r="E419" s="739" t="s">
        <v>1088</v>
      </c>
      <c r="F419" s="740" t="s">
        <v>1089</v>
      </c>
      <c r="G419" s="741" t="s">
        <v>15</v>
      </c>
      <c r="H419" s="742">
        <v>19.635000000000002</v>
      </c>
      <c r="I419" s="743"/>
      <c r="J419" s="743">
        <f>ROUND(I419*H419,2)</f>
        <v>0</v>
      </c>
      <c r="K419" s="740" t="s">
        <v>2622</v>
      </c>
      <c r="L419" s="744"/>
      <c r="M419" s="745" t="s">
        <v>725</v>
      </c>
      <c r="N419" s="746" t="s">
        <v>813</v>
      </c>
      <c r="O419" s="711">
        <v>0</v>
      </c>
      <c r="P419" s="711">
        <f>O419*H419</f>
        <v>0</v>
      </c>
      <c r="Q419" s="711">
        <v>0.222</v>
      </c>
      <c r="R419" s="711">
        <f>Q419*H419</f>
        <v>4.3589700000000002</v>
      </c>
      <c r="S419" s="711">
        <v>0</v>
      </c>
      <c r="T419" s="712">
        <f>S419*H419</f>
        <v>0</v>
      </c>
      <c r="AR419" s="668" t="s">
        <v>111</v>
      </c>
      <c r="AT419" s="668" t="s">
        <v>298</v>
      </c>
      <c r="AU419" s="668" t="s">
        <v>101</v>
      </c>
      <c r="AY419" s="157" t="s">
        <v>863</v>
      </c>
      <c r="BE419" s="713">
        <f>IF(N419="základní",J419,0)</f>
        <v>0</v>
      </c>
      <c r="BF419" s="713">
        <f>IF(N419="snížená",J419,0)</f>
        <v>0</v>
      </c>
      <c r="BG419" s="713">
        <f>IF(N419="zákl. přenesená",J419,0)</f>
        <v>0</v>
      </c>
      <c r="BH419" s="713">
        <f>IF(N419="sníž. přenesená",J419,0)</f>
        <v>0</v>
      </c>
      <c r="BI419" s="713">
        <f>IF(N419="nulová",J419,0)</f>
        <v>0</v>
      </c>
      <c r="BJ419" s="157" t="s">
        <v>99</v>
      </c>
      <c r="BK419" s="713">
        <f>ROUND(I419*H419,2)</f>
        <v>0</v>
      </c>
      <c r="BL419" s="157" t="s">
        <v>103</v>
      </c>
      <c r="BM419" s="668" t="s">
        <v>1090</v>
      </c>
    </row>
    <row r="420" spans="2:65" s="723" customFormat="1" ht="11.4" x14ac:dyDescent="0.25">
      <c r="B420" s="722"/>
      <c r="D420" s="716" t="s">
        <v>868</v>
      </c>
      <c r="F420" s="725" t="s">
        <v>1091</v>
      </c>
      <c r="H420" s="726">
        <v>19.635000000000002</v>
      </c>
      <c r="K420" s="727"/>
      <c r="L420" s="722"/>
      <c r="M420" s="728"/>
      <c r="T420" s="729"/>
      <c r="AT420" s="724" t="s">
        <v>868</v>
      </c>
      <c r="AU420" s="724" t="s">
        <v>101</v>
      </c>
      <c r="AV420" s="723" t="s">
        <v>101</v>
      </c>
      <c r="AW420" s="723" t="s">
        <v>699</v>
      </c>
      <c r="AX420" s="723" t="s">
        <v>99</v>
      </c>
      <c r="AY420" s="724" t="s">
        <v>863</v>
      </c>
    </row>
    <row r="421" spans="2:65" s="163" customFormat="1" ht="40.200000000000003" customHeight="1" x14ac:dyDescent="0.25">
      <c r="B421" s="702"/>
      <c r="C421" s="703" t="s">
        <v>1092</v>
      </c>
      <c r="D421" s="703" t="s">
        <v>864</v>
      </c>
      <c r="E421" s="704" t="s">
        <v>1093</v>
      </c>
      <c r="F421" s="705" t="s">
        <v>1094</v>
      </c>
      <c r="G421" s="706" t="s">
        <v>15</v>
      </c>
      <c r="H421" s="707">
        <v>505.81</v>
      </c>
      <c r="I421" s="708"/>
      <c r="J421" s="708">
        <f>ROUND(I421*H421,2)</f>
        <v>0</v>
      </c>
      <c r="K421" s="705" t="s">
        <v>2622</v>
      </c>
      <c r="L421" s="164"/>
      <c r="M421" s="709" t="s">
        <v>725</v>
      </c>
      <c r="N421" s="710" t="s">
        <v>813</v>
      </c>
      <c r="O421" s="711">
        <v>1.3740000000000001</v>
      </c>
      <c r="P421" s="711">
        <f>O421*H421</f>
        <v>694.9829400000001</v>
      </c>
      <c r="Q421" s="711">
        <v>0.16700000000000001</v>
      </c>
      <c r="R421" s="711">
        <f>Q421*H421</f>
        <v>84.470269999999999</v>
      </c>
      <c r="S421" s="711">
        <v>0</v>
      </c>
      <c r="T421" s="712">
        <f>S421*H421</f>
        <v>0</v>
      </c>
      <c r="AR421" s="668" t="s">
        <v>103</v>
      </c>
      <c r="AT421" s="668" t="s">
        <v>864</v>
      </c>
      <c r="AU421" s="668" t="s">
        <v>101</v>
      </c>
      <c r="AY421" s="157" t="s">
        <v>863</v>
      </c>
      <c r="BE421" s="713">
        <f>IF(N421="základní",J421,0)</f>
        <v>0</v>
      </c>
      <c r="BF421" s="713">
        <f>IF(N421="snížená",J421,0)</f>
        <v>0</v>
      </c>
      <c r="BG421" s="713">
        <f>IF(N421="zákl. přenesená",J421,0)</f>
        <v>0</v>
      </c>
      <c r="BH421" s="713">
        <f>IF(N421="sníž. přenesená",J421,0)</f>
        <v>0</v>
      </c>
      <c r="BI421" s="713">
        <f>IF(N421="nulová",J421,0)</f>
        <v>0</v>
      </c>
      <c r="BJ421" s="157" t="s">
        <v>99</v>
      </c>
      <c r="BK421" s="713">
        <f>ROUND(I421*H421,2)</f>
        <v>0</v>
      </c>
      <c r="BL421" s="157" t="s">
        <v>103</v>
      </c>
      <c r="BM421" s="668" t="s">
        <v>1095</v>
      </c>
    </row>
    <row r="422" spans="2:65" s="715" customFormat="1" ht="11.4" x14ac:dyDescent="0.25">
      <c r="B422" s="714"/>
      <c r="D422" s="716" t="s">
        <v>868</v>
      </c>
      <c r="E422" s="717" t="s">
        <v>725</v>
      </c>
      <c r="F422" s="718" t="s">
        <v>881</v>
      </c>
      <c r="H422" s="717" t="s">
        <v>725</v>
      </c>
      <c r="K422" s="719"/>
      <c r="L422" s="714"/>
      <c r="M422" s="720"/>
      <c r="T422" s="721"/>
      <c r="AT422" s="717" t="s">
        <v>868</v>
      </c>
      <c r="AU422" s="717" t="s">
        <v>101</v>
      </c>
      <c r="AV422" s="715" t="s">
        <v>99</v>
      </c>
      <c r="AW422" s="715" t="s">
        <v>870</v>
      </c>
      <c r="AX422" s="715" t="s">
        <v>301</v>
      </c>
      <c r="AY422" s="717" t="s">
        <v>863</v>
      </c>
    </row>
    <row r="423" spans="2:65" s="715" customFormat="1" ht="11.4" x14ac:dyDescent="0.25">
      <c r="B423" s="714"/>
      <c r="D423" s="716" t="s">
        <v>868</v>
      </c>
      <c r="E423" s="717" t="s">
        <v>725</v>
      </c>
      <c r="F423" s="718" t="s">
        <v>869</v>
      </c>
      <c r="H423" s="717" t="s">
        <v>725</v>
      </c>
      <c r="K423" s="719"/>
      <c r="L423" s="714"/>
      <c r="M423" s="720"/>
      <c r="T423" s="721"/>
      <c r="AT423" s="717" t="s">
        <v>868</v>
      </c>
      <c r="AU423" s="717" t="s">
        <v>101</v>
      </c>
      <c r="AV423" s="715" t="s">
        <v>99</v>
      </c>
      <c r="AW423" s="715" t="s">
        <v>870</v>
      </c>
      <c r="AX423" s="715" t="s">
        <v>301</v>
      </c>
      <c r="AY423" s="717" t="s">
        <v>863</v>
      </c>
    </row>
    <row r="424" spans="2:65" s="715" customFormat="1" ht="11.4" x14ac:dyDescent="0.25">
      <c r="B424" s="714"/>
      <c r="D424" s="716" t="s">
        <v>868</v>
      </c>
      <c r="E424" s="717" t="s">
        <v>725</v>
      </c>
      <c r="F424" s="718" t="s">
        <v>887</v>
      </c>
      <c r="H424" s="717" t="s">
        <v>725</v>
      </c>
      <c r="K424" s="719"/>
      <c r="L424" s="714"/>
      <c r="M424" s="720"/>
      <c r="T424" s="721"/>
      <c r="AT424" s="717" t="s">
        <v>868</v>
      </c>
      <c r="AU424" s="717" t="s">
        <v>101</v>
      </c>
      <c r="AV424" s="715" t="s">
        <v>99</v>
      </c>
      <c r="AW424" s="715" t="s">
        <v>870</v>
      </c>
      <c r="AX424" s="715" t="s">
        <v>301</v>
      </c>
      <c r="AY424" s="717" t="s">
        <v>863</v>
      </c>
    </row>
    <row r="425" spans="2:65" s="715" customFormat="1" ht="11.4" x14ac:dyDescent="0.25">
      <c r="B425" s="714"/>
      <c r="D425" s="716" t="s">
        <v>868</v>
      </c>
      <c r="E425" s="717" t="s">
        <v>725</v>
      </c>
      <c r="F425" s="718" t="s">
        <v>888</v>
      </c>
      <c r="H425" s="717" t="s">
        <v>725</v>
      </c>
      <c r="K425" s="719"/>
      <c r="L425" s="714"/>
      <c r="M425" s="720"/>
      <c r="T425" s="721"/>
      <c r="AT425" s="717" t="s">
        <v>868</v>
      </c>
      <c r="AU425" s="717" t="s">
        <v>101</v>
      </c>
      <c r="AV425" s="715" t="s">
        <v>99</v>
      </c>
      <c r="AW425" s="715" t="s">
        <v>870</v>
      </c>
      <c r="AX425" s="715" t="s">
        <v>301</v>
      </c>
      <c r="AY425" s="717" t="s">
        <v>863</v>
      </c>
    </row>
    <row r="426" spans="2:65" s="723" customFormat="1" ht="11.4" x14ac:dyDescent="0.25">
      <c r="B426" s="722"/>
      <c r="D426" s="716" t="s">
        <v>868</v>
      </c>
      <c r="E426" s="724" t="s">
        <v>725</v>
      </c>
      <c r="F426" s="725" t="s">
        <v>746</v>
      </c>
      <c r="H426" s="726">
        <v>411.88</v>
      </c>
      <c r="K426" s="727"/>
      <c r="L426" s="722"/>
      <c r="M426" s="728"/>
      <c r="T426" s="729"/>
      <c r="AT426" s="724" t="s">
        <v>868</v>
      </c>
      <c r="AU426" s="724" t="s">
        <v>101</v>
      </c>
      <c r="AV426" s="723" t="s">
        <v>101</v>
      </c>
      <c r="AW426" s="723" t="s">
        <v>870</v>
      </c>
      <c r="AX426" s="723" t="s">
        <v>301</v>
      </c>
      <c r="AY426" s="724" t="s">
        <v>863</v>
      </c>
    </row>
    <row r="427" spans="2:65" s="723" customFormat="1" ht="11.4" x14ac:dyDescent="0.25">
      <c r="B427" s="722"/>
      <c r="D427" s="716" t="s">
        <v>868</v>
      </c>
      <c r="E427" s="724" t="s">
        <v>725</v>
      </c>
      <c r="F427" s="725" t="s">
        <v>749</v>
      </c>
      <c r="H427" s="726">
        <v>33.229999999999997</v>
      </c>
      <c r="K427" s="727"/>
      <c r="L427" s="722"/>
      <c r="M427" s="728"/>
      <c r="T427" s="729"/>
      <c r="AT427" s="724" t="s">
        <v>868</v>
      </c>
      <c r="AU427" s="724" t="s">
        <v>101</v>
      </c>
      <c r="AV427" s="723" t="s">
        <v>101</v>
      </c>
      <c r="AW427" s="723" t="s">
        <v>870</v>
      </c>
      <c r="AX427" s="723" t="s">
        <v>301</v>
      </c>
      <c r="AY427" s="724" t="s">
        <v>863</v>
      </c>
    </row>
    <row r="428" spans="2:65" s="723" customFormat="1" ht="11.4" x14ac:dyDescent="0.25">
      <c r="B428" s="722"/>
      <c r="D428" s="716" t="s">
        <v>868</v>
      </c>
      <c r="E428" s="724" t="s">
        <v>725</v>
      </c>
      <c r="F428" s="725" t="s">
        <v>753</v>
      </c>
      <c r="H428" s="726">
        <v>22.34</v>
      </c>
      <c r="K428" s="727"/>
      <c r="L428" s="722"/>
      <c r="M428" s="728"/>
      <c r="T428" s="729"/>
      <c r="AT428" s="724" t="s">
        <v>868</v>
      </c>
      <c r="AU428" s="724" t="s">
        <v>101</v>
      </c>
      <c r="AV428" s="723" t="s">
        <v>101</v>
      </c>
      <c r="AW428" s="723" t="s">
        <v>870</v>
      </c>
      <c r="AX428" s="723" t="s">
        <v>301</v>
      </c>
      <c r="AY428" s="724" t="s">
        <v>863</v>
      </c>
    </row>
    <row r="429" spans="2:65" s="723" customFormat="1" ht="11.4" x14ac:dyDescent="0.25">
      <c r="B429" s="722"/>
      <c r="D429" s="716" t="s">
        <v>868</v>
      </c>
      <c r="E429" s="724" t="s">
        <v>725</v>
      </c>
      <c r="F429" s="725" t="s">
        <v>1096</v>
      </c>
      <c r="H429" s="726">
        <v>38.36</v>
      </c>
      <c r="K429" s="727"/>
      <c r="L429" s="722"/>
      <c r="M429" s="728"/>
      <c r="T429" s="729"/>
      <c r="AT429" s="724" t="s">
        <v>868</v>
      </c>
      <c r="AU429" s="724" t="s">
        <v>101</v>
      </c>
      <c r="AV429" s="723" t="s">
        <v>101</v>
      </c>
      <c r="AW429" s="723" t="s">
        <v>870</v>
      </c>
      <c r="AX429" s="723" t="s">
        <v>301</v>
      </c>
      <c r="AY429" s="724" t="s">
        <v>863</v>
      </c>
    </row>
    <row r="430" spans="2:65" s="731" customFormat="1" ht="11.4" x14ac:dyDescent="0.25">
      <c r="B430" s="730"/>
      <c r="D430" s="716" t="s">
        <v>868</v>
      </c>
      <c r="E430" s="732" t="s">
        <v>725</v>
      </c>
      <c r="F430" s="733" t="s">
        <v>873</v>
      </c>
      <c r="H430" s="734">
        <v>505.81</v>
      </c>
      <c r="K430" s="735"/>
      <c r="L430" s="730"/>
      <c r="M430" s="736"/>
      <c r="T430" s="737"/>
      <c r="AT430" s="732" t="s">
        <v>868</v>
      </c>
      <c r="AU430" s="732" t="s">
        <v>101</v>
      </c>
      <c r="AV430" s="731" t="s">
        <v>103</v>
      </c>
      <c r="AW430" s="731" t="s">
        <v>870</v>
      </c>
      <c r="AX430" s="731" t="s">
        <v>99</v>
      </c>
      <c r="AY430" s="732" t="s">
        <v>863</v>
      </c>
    </row>
    <row r="431" spans="2:65" s="163" customFormat="1" ht="14.4" customHeight="1" x14ac:dyDescent="0.25">
      <c r="B431" s="702"/>
      <c r="C431" s="738" t="s">
        <v>1097</v>
      </c>
      <c r="D431" s="738" t="s">
        <v>298</v>
      </c>
      <c r="E431" s="739" t="s">
        <v>1098</v>
      </c>
      <c r="F431" s="740" t="s">
        <v>1099</v>
      </c>
      <c r="G431" s="741" t="s">
        <v>15</v>
      </c>
      <c r="H431" s="742">
        <v>476.79899999999998</v>
      </c>
      <c r="I431" s="743"/>
      <c r="J431" s="743">
        <f>ROUND(I431*H431,2)</f>
        <v>0</v>
      </c>
      <c r="K431" s="740" t="s">
        <v>2622</v>
      </c>
      <c r="L431" s="744"/>
      <c r="M431" s="745" t="s">
        <v>725</v>
      </c>
      <c r="N431" s="746" t="s">
        <v>813</v>
      </c>
      <c r="O431" s="711">
        <v>0</v>
      </c>
      <c r="P431" s="711">
        <f>O431*H431</f>
        <v>0</v>
      </c>
      <c r="Q431" s="711">
        <v>0.11799999999999999</v>
      </c>
      <c r="R431" s="711">
        <f>Q431*H431</f>
        <v>56.262281999999992</v>
      </c>
      <c r="S431" s="711">
        <v>0</v>
      </c>
      <c r="T431" s="712">
        <f>S431*H431</f>
        <v>0</v>
      </c>
      <c r="AR431" s="668" t="s">
        <v>111</v>
      </c>
      <c r="AT431" s="668" t="s">
        <v>298</v>
      </c>
      <c r="AU431" s="668" t="s">
        <v>101</v>
      </c>
      <c r="AY431" s="157" t="s">
        <v>863</v>
      </c>
      <c r="BE431" s="713">
        <f>IF(N431="základní",J431,0)</f>
        <v>0</v>
      </c>
      <c r="BF431" s="713">
        <f>IF(N431="snížená",J431,0)</f>
        <v>0</v>
      </c>
      <c r="BG431" s="713">
        <f>IF(N431="zákl. přenesená",J431,0)</f>
        <v>0</v>
      </c>
      <c r="BH431" s="713">
        <f>IF(N431="sníž. přenesená",J431,0)</f>
        <v>0</v>
      </c>
      <c r="BI431" s="713">
        <f>IF(N431="nulová",J431,0)</f>
        <v>0</v>
      </c>
      <c r="BJ431" s="157" t="s">
        <v>99</v>
      </c>
      <c r="BK431" s="713">
        <f>ROUND(I431*H431,2)</f>
        <v>0</v>
      </c>
      <c r="BL431" s="157" t="s">
        <v>103</v>
      </c>
      <c r="BM431" s="668" t="s">
        <v>1100</v>
      </c>
    </row>
    <row r="432" spans="2:65" s="723" customFormat="1" ht="11.4" x14ac:dyDescent="0.25">
      <c r="B432" s="722"/>
      <c r="D432" s="716" t="s">
        <v>868</v>
      </c>
      <c r="E432" s="724" t="s">
        <v>725</v>
      </c>
      <c r="F432" s="725" t="s">
        <v>746</v>
      </c>
      <c r="H432" s="726">
        <v>411.88</v>
      </c>
      <c r="K432" s="727"/>
      <c r="L432" s="722"/>
      <c r="M432" s="728"/>
      <c r="T432" s="729"/>
      <c r="AT432" s="724" t="s">
        <v>868</v>
      </c>
      <c r="AU432" s="724" t="s">
        <v>101</v>
      </c>
      <c r="AV432" s="723" t="s">
        <v>101</v>
      </c>
      <c r="AW432" s="723" t="s">
        <v>870</v>
      </c>
      <c r="AX432" s="723" t="s">
        <v>301</v>
      </c>
      <c r="AY432" s="724" t="s">
        <v>863</v>
      </c>
    </row>
    <row r="433" spans="2:65" s="723" customFormat="1" ht="11.4" x14ac:dyDescent="0.25">
      <c r="B433" s="722"/>
      <c r="D433" s="716" t="s">
        <v>868</v>
      </c>
      <c r="E433" s="724" t="s">
        <v>725</v>
      </c>
      <c r="F433" s="725" t="s">
        <v>749</v>
      </c>
      <c r="H433" s="726">
        <v>33.229999999999997</v>
      </c>
      <c r="K433" s="727"/>
      <c r="L433" s="722"/>
      <c r="M433" s="728"/>
      <c r="T433" s="729"/>
      <c r="AT433" s="724" t="s">
        <v>868</v>
      </c>
      <c r="AU433" s="724" t="s">
        <v>101</v>
      </c>
      <c r="AV433" s="723" t="s">
        <v>101</v>
      </c>
      <c r="AW433" s="723" t="s">
        <v>870</v>
      </c>
      <c r="AX433" s="723" t="s">
        <v>301</v>
      </c>
      <c r="AY433" s="724" t="s">
        <v>863</v>
      </c>
    </row>
    <row r="434" spans="2:65" s="723" customFormat="1" ht="11.4" x14ac:dyDescent="0.25">
      <c r="B434" s="722"/>
      <c r="D434" s="716" t="s">
        <v>868</v>
      </c>
      <c r="E434" s="724" t="s">
        <v>725</v>
      </c>
      <c r="F434" s="725" t="s">
        <v>753</v>
      </c>
      <c r="H434" s="726">
        <v>22.34</v>
      </c>
      <c r="K434" s="727"/>
      <c r="L434" s="722"/>
      <c r="M434" s="728"/>
      <c r="T434" s="729"/>
      <c r="AT434" s="724" t="s">
        <v>868</v>
      </c>
      <c r="AU434" s="724" t="s">
        <v>101</v>
      </c>
      <c r="AV434" s="723" t="s">
        <v>101</v>
      </c>
      <c r="AW434" s="723" t="s">
        <v>870</v>
      </c>
      <c r="AX434" s="723" t="s">
        <v>301</v>
      </c>
      <c r="AY434" s="724" t="s">
        <v>863</v>
      </c>
    </row>
    <row r="435" spans="2:65" s="731" customFormat="1" ht="11.4" x14ac:dyDescent="0.25">
      <c r="B435" s="730"/>
      <c r="D435" s="716" t="s">
        <v>868</v>
      </c>
      <c r="E435" s="732" t="s">
        <v>725</v>
      </c>
      <c r="F435" s="733" t="s">
        <v>873</v>
      </c>
      <c r="H435" s="734">
        <v>467.45</v>
      </c>
      <c r="K435" s="735"/>
      <c r="L435" s="730"/>
      <c r="M435" s="736"/>
      <c r="T435" s="737"/>
      <c r="AT435" s="732" t="s">
        <v>868</v>
      </c>
      <c r="AU435" s="732" t="s">
        <v>101</v>
      </c>
      <c r="AV435" s="731" t="s">
        <v>103</v>
      </c>
      <c r="AW435" s="731" t="s">
        <v>870</v>
      </c>
      <c r="AX435" s="731" t="s">
        <v>99</v>
      </c>
      <c r="AY435" s="732" t="s">
        <v>863</v>
      </c>
    </row>
    <row r="436" spans="2:65" s="723" customFormat="1" ht="11.4" x14ac:dyDescent="0.25">
      <c r="B436" s="722"/>
      <c r="D436" s="716" t="s">
        <v>868</v>
      </c>
      <c r="F436" s="725" t="s">
        <v>1101</v>
      </c>
      <c r="H436" s="726">
        <v>476.79899999999998</v>
      </c>
      <c r="K436" s="727"/>
      <c r="L436" s="722"/>
      <c r="M436" s="728"/>
      <c r="T436" s="729"/>
      <c r="AT436" s="724" t="s">
        <v>868</v>
      </c>
      <c r="AU436" s="724" t="s">
        <v>101</v>
      </c>
      <c r="AV436" s="723" t="s">
        <v>101</v>
      </c>
      <c r="AW436" s="723" t="s">
        <v>699</v>
      </c>
      <c r="AX436" s="723" t="s">
        <v>99</v>
      </c>
      <c r="AY436" s="724" t="s">
        <v>863</v>
      </c>
    </row>
    <row r="437" spans="2:65" s="163" customFormat="1" ht="38.4" customHeight="1" x14ac:dyDescent="0.25">
      <c r="B437" s="702"/>
      <c r="C437" s="703" t="s">
        <v>1102</v>
      </c>
      <c r="D437" s="703" t="s">
        <v>864</v>
      </c>
      <c r="E437" s="704" t="s">
        <v>1103</v>
      </c>
      <c r="F437" s="705" t="s">
        <v>1104</v>
      </c>
      <c r="G437" s="706" t="s">
        <v>15</v>
      </c>
      <c r="H437" s="707">
        <v>160.44999999999999</v>
      </c>
      <c r="I437" s="708"/>
      <c r="J437" s="708">
        <f>ROUND(I437*H437,2)</f>
        <v>0</v>
      </c>
      <c r="K437" s="705" t="s">
        <v>2622</v>
      </c>
      <c r="L437" s="164"/>
      <c r="M437" s="709" t="s">
        <v>725</v>
      </c>
      <c r="N437" s="710" t="s">
        <v>813</v>
      </c>
      <c r="O437" s="711">
        <v>0.67200000000000004</v>
      </c>
      <c r="P437" s="711">
        <f>O437*H437</f>
        <v>107.8224</v>
      </c>
      <c r="Q437" s="711">
        <v>0.58020000000000005</v>
      </c>
      <c r="R437" s="711">
        <f>Q437*H437</f>
        <v>93.093090000000004</v>
      </c>
      <c r="S437" s="711">
        <v>0</v>
      </c>
      <c r="T437" s="712">
        <f>S437*H437</f>
        <v>0</v>
      </c>
      <c r="AR437" s="668" t="s">
        <v>103</v>
      </c>
      <c r="AT437" s="668" t="s">
        <v>864</v>
      </c>
      <c r="AU437" s="668" t="s">
        <v>101</v>
      </c>
      <c r="AY437" s="157" t="s">
        <v>863</v>
      </c>
      <c r="BE437" s="713">
        <f>IF(N437="základní",J437,0)</f>
        <v>0</v>
      </c>
      <c r="BF437" s="713">
        <f>IF(N437="snížená",J437,0)</f>
        <v>0</v>
      </c>
      <c r="BG437" s="713">
        <f>IF(N437="zákl. přenesená",J437,0)</f>
        <v>0</v>
      </c>
      <c r="BH437" s="713">
        <f>IF(N437="sníž. přenesená",J437,0)</f>
        <v>0</v>
      </c>
      <c r="BI437" s="713">
        <f>IF(N437="nulová",J437,0)</f>
        <v>0</v>
      </c>
      <c r="BJ437" s="157" t="s">
        <v>99</v>
      </c>
      <c r="BK437" s="713">
        <f>ROUND(I437*H437,2)</f>
        <v>0</v>
      </c>
      <c r="BL437" s="157" t="s">
        <v>103</v>
      </c>
      <c r="BM437" s="668" t="s">
        <v>1105</v>
      </c>
    </row>
    <row r="438" spans="2:65" s="715" customFormat="1" ht="11.4" x14ac:dyDescent="0.25">
      <c r="B438" s="714"/>
      <c r="D438" s="716" t="s">
        <v>868</v>
      </c>
      <c r="E438" s="717" t="s">
        <v>725</v>
      </c>
      <c r="F438" s="718" t="s">
        <v>881</v>
      </c>
      <c r="H438" s="717" t="s">
        <v>725</v>
      </c>
      <c r="K438" s="719"/>
      <c r="L438" s="714"/>
      <c r="M438" s="720"/>
      <c r="T438" s="721"/>
      <c r="AT438" s="717" t="s">
        <v>868</v>
      </c>
      <c r="AU438" s="717" t="s">
        <v>101</v>
      </c>
      <c r="AV438" s="715" t="s">
        <v>99</v>
      </c>
      <c r="AW438" s="715" t="s">
        <v>870</v>
      </c>
      <c r="AX438" s="715" t="s">
        <v>301</v>
      </c>
      <c r="AY438" s="717" t="s">
        <v>863</v>
      </c>
    </row>
    <row r="439" spans="2:65" s="715" customFormat="1" ht="11.4" x14ac:dyDescent="0.25">
      <c r="B439" s="714"/>
      <c r="D439" s="716" t="s">
        <v>868</v>
      </c>
      <c r="E439" s="717" t="s">
        <v>725</v>
      </c>
      <c r="F439" s="718" t="s">
        <v>869</v>
      </c>
      <c r="H439" s="717" t="s">
        <v>725</v>
      </c>
      <c r="K439" s="719"/>
      <c r="L439" s="714"/>
      <c r="M439" s="720"/>
      <c r="T439" s="721"/>
      <c r="AT439" s="717" t="s">
        <v>868</v>
      </c>
      <c r="AU439" s="717" t="s">
        <v>101</v>
      </c>
      <c r="AV439" s="715" t="s">
        <v>99</v>
      </c>
      <c r="AW439" s="715" t="s">
        <v>870</v>
      </c>
      <c r="AX439" s="715" t="s">
        <v>301</v>
      </c>
      <c r="AY439" s="717" t="s">
        <v>863</v>
      </c>
    </row>
    <row r="440" spans="2:65" s="715" customFormat="1" ht="11.4" x14ac:dyDescent="0.25">
      <c r="B440" s="714"/>
      <c r="D440" s="716" t="s">
        <v>868</v>
      </c>
      <c r="E440" s="717" t="s">
        <v>725</v>
      </c>
      <c r="F440" s="718" t="s">
        <v>887</v>
      </c>
      <c r="H440" s="717" t="s">
        <v>725</v>
      </c>
      <c r="K440" s="719"/>
      <c r="L440" s="714"/>
      <c r="M440" s="720"/>
      <c r="T440" s="721"/>
      <c r="AT440" s="717" t="s">
        <v>868</v>
      </c>
      <c r="AU440" s="717" t="s">
        <v>101</v>
      </c>
      <c r="AV440" s="715" t="s">
        <v>99</v>
      </c>
      <c r="AW440" s="715" t="s">
        <v>870</v>
      </c>
      <c r="AX440" s="715" t="s">
        <v>301</v>
      </c>
      <c r="AY440" s="717" t="s">
        <v>863</v>
      </c>
    </row>
    <row r="441" spans="2:65" s="715" customFormat="1" ht="11.4" x14ac:dyDescent="0.25">
      <c r="B441" s="714"/>
      <c r="D441" s="716" t="s">
        <v>868</v>
      </c>
      <c r="E441" s="717" t="s">
        <v>725</v>
      </c>
      <c r="F441" s="718" t="s">
        <v>888</v>
      </c>
      <c r="H441" s="717" t="s">
        <v>725</v>
      </c>
      <c r="K441" s="719"/>
      <c r="L441" s="714"/>
      <c r="M441" s="720"/>
      <c r="T441" s="721"/>
      <c r="AT441" s="717" t="s">
        <v>868</v>
      </c>
      <c r="AU441" s="717" t="s">
        <v>101</v>
      </c>
      <c r="AV441" s="715" t="s">
        <v>99</v>
      </c>
      <c r="AW441" s="715" t="s">
        <v>870</v>
      </c>
      <c r="AX441" s="715" t="s">
        <v>301</v>
      </c>
      <c r="AY441" s="717" t="s">
        <v>863</v>
      </c>
    </row>
    <row r="442" spans="2:65" s="723" customFormat="1" ht="11.4" x14ac:dyDescent="0.25">
      <c r="B442" s="722"/>
      <c r="D442" s="716" t="s">
        <v>868</v>
      </c>
      <c r="E442" s="724" t="s">
        <v>725</v>
      </c>
      <c r="F442" s="725" t="s">
        <v>767</v>
      </c>
      <c r="H442" s="726">
        <v>149.35</v>
      </c>
      <c r="K442" s="727"/>
      <c r="L442" s="722"/>
      <c r="M442" s="728"/>
      <c r="T442" s="729"/>
      <c r="AT442" s="724" t="s">
        <v>868</v>
      </c>
      <c r="AU442" s="724" t="s">
        <v>101</v>
      </c>
      <c r="AV442" s="723" t="s">
        <v>101</v>
      </c>
      <c r="AW442" s="723" t="s">
        <v>870</v>
      </c>
      <c r="AX442" s="723" t="s">
        <v>301</v>
      </c>
      <c r="AY442" s="724" t="s">
        <v>863</v>
      </c>
    </row>
    <row r="443" spans="2:65" s="723" customFormat="1" ht="11.4" x14ac:dyDescent="0.25">
      <c r="B443" s="722"/>
      <c r="D443" s="716" t="s">
        <v>868</v>
      </c>
      <c r="E443" s="724" t="s">
        <v>725</v>
      </c>
      <c r="F443" s="725" t="s">
        <v>770</v>
      </c>
      <c r="H443" s="726">
        <v>2.92</v>
      </c>
      <c r="K443" s="727"/>
      <c r="L443" s="722"/>
      <c r="M443" s="728"/>
      <c r="T443" s="729"/>
      <c r="AT443" s="724" t="s">
        <v>868</v>
      </c>
      <c r="AU443" s="724" t="s">
        <v>101</v>
      </c>
      <c r="AV443" s="723" t="s">
        <v>101</v>
      </c>
      <c r="AW443" s="723" t="s">
        <v>870</v>
      </c>
      <c r="AX443" s="723" t="s">
        <v>301</v>
      </c>
      <c r="AY443" s="724" t="s">
        <v>863</v>
      </c>
    </row>
    <row r="444" spans="2:65" s="723" customFormat="1" ht="11.4" x14ac:dyDescent="0.25">
      <c r="B444" s="722"/>
      <c r="D444" s="716" t="s">
        <v>868</v>
      </c>
      <c r="E444" s="724" t="s">
        <v>725</v>
      </c>
      <c r="F444" s="725" t="s">
        <v>782</v>
      </c>
      <c r="H444" s="726">
        <v>8.18</v>
      </c>
      <c r="K444" s="727"/>
      <c r="L444" s="722"/>
      <c r="M444" s="728"/>
      <c r="T444" s="729"/>
      <c r="AT444" s="724" t="s">
        <v>868</v>
      </c>
      <c r="AU444" s="724" t="s">
        <v>101</v>
      </c>
      <c r="AV444" s="723" t="s">
        <v>101</v>
      </c>
      <c r="AW444" s="723" t="s">
        <v>870</v>
      </c>
      <c r="AX444" s="723" t="s">
        <v>301</v>
      </c>
      <c r="AY444" s="724" t="s">
        <v>863</v>
      </c>
    </row>
    <row r="445" spans="2:65" s="731" customFormat="1" ht="11.4" x14ac:dyDescent="0.25">
      <c r="B445" s="730"/>
      <c r="D445" s="716" t="s">
        <v>868</v>
      </c>
      <c r="E445" s="732" t="s">
        <v>725</v>
      </c>
      <c r="F445" s="733" t="s">
        <v>873</v>
      </c>
      <c r="H445" s="734">
        <v>160.44999999999999</v>
      </c>
      <c r="K445" s="735"/>
      <c r="L445" s="730"/>
      <c r="M445" s="736"/>
      <c r="T445" s="737"/>
      <c r="AT445" s="732" t="s">
        <v>868</v>
      </c>
      <c r="AU445" s="732" t="s">
        <v>101</v>
      </c>
      <c r="AV445" s="731" t="s">
        <v>103</v>
      </c>
      <c r="AW445" s="731" t="s">
        <v>870</v>
      </c>
      <c r="AX445" s="731" t="s">
        <v>99</v>
      </c>
      <c r="AY445" s="732" t="s">
        <v>863</v>
      </c>
    </row>
    <row r="446" spans="2:65" s="163" customFormat="1" ht="52.2" customHeight="1" x14ac:dyDescent="0.25">
      <c r="B446" s="702"/>
      <c r="C446" s="703" t="s">
        <v>1106</v>
      </c>
      <c r="D446" s="703" t="s">
        <v>864</v>
      </c>
      <c r="E446" s="704" t="s">
        <v>1107</v>
      </c>
      <c r="F446" s="705" t="s">
        <v>1108</v>
      </c>
      <c r="G446" s="706" t="s">
        <v>15</v>
      </c>
      <c r="H446" s="707">
        <v>66.42</v>
      </c>
      <c r="I446" s="708"/>
      <c r="J446" s="708">
        <f>ROUND(I446*H446,2)</f>
        <v>0</v>
      </c>
      <c r="K446" s="705" t="s">
        <v>2622</v>
      </c>
      <c r="L446" s="164"/>
      <c r="M446" s="709" t="s">
        <v>725</v>
      </c>
      <c r="N446" s="710" t="s">
        <v>813</v>
      </c>
      <c r="O446" s="711">
        <v>0.72</v>
      </c>
      <c r="P446" s="711">
        <f>O446*H446</f>
        <v>47.822400000000002</v>
      </c>
      <c r="Q446" s="711">
        <v>8.4250000000000005E-2</v>
      </c>
      <c r="R446" s="711">
        <f>Q446*H446</f>
        <v>5.5958850000000009</v>
      </c>
      <c r="S446" s="711">
        <v>0</v>
      </c>
      <c r="T446" s="712">
        <f>S446*H446</f>
        <v>0</v>
      </c>
      <c r="AR446" s="668" t="s">
        <v>103</v>
      </c>
      <c r="AT446" s="668" t="s">
        <v>864</v>
      </c>
      <c r="AU446" s="668" t="s">
        <v>101</v>
      </c>
      <c r="AY446" s="157" t="s">
        <v>863</v>
      </c>
      <c r="BE446" s="713">
        <f>IF(N446="základní",J446,0)</f>
        <v>0</v>
      </c>
      <c r="BF446" s="713">
        <f>IF(N446="snížená",J446,0)</f>
        <v>0</v>
      </c>
      <c r="BG446" s="713">
        <f>IF(N446="zákl. přenesená",J446,0)</f>
        <v>0</v>
      </c>
      <c r="BH446" s="713">
        <f>IF(N446="sníž. přenesená",J446,0)</f>
        <v>0</v>
      </c>
      <c r="BI446" s="713">
        <f>IF(N446="nulová",J446,0)</f>
        <v>0</v>
      </c>
      <c r="BJ446" s="157" t="s">
        <v>99</v>
      </c>
      <c r="BK446" s="713">
        <f>ROUND(I446*H446,2)</f>
        <v>0</v>
      </c>
      <c r="BL446" s="157" t="s">
        <v>103</v>
      </c>
      <c r="BM446" s="668" t="s">
        <v>1109</v>
      </c>
    </row>
    <row r="447" spans="2:65" s="715" customFormat="1" ht="11.4" x14ac:dyDescent="0.25">
      <c r="B447" s="714"/>
      <c r="D447" s="716" t="s">
        <v>868</v>
      </c>
      <c r="E447" s="717" t="s">
        <v>725</v>
      </c>
      <c r="F447" s="718" t="s">
        <v>881</v>
      </c>
      <c r="H447" s="717" t="s">
        <v>725</v>
      </c>
      <c r="K447" s="719"/>
      <c r="L447" s="714"/>
      <c r="M447" s="720"/>
      <c r="T447" s="721"/>
      <c r="AT447" s="717" t="s">
        <v>868</v>
      </c>
      <c r="AU447" s="717" t="s">
        <v>101</v>
      </c>
      <c r="AV447" s="715" t="s">
        <v>99</v>
      </c>
      <c r="AW447" s="715" t="s">
        <v>870</v>
      </c>
      <c r="AX447" s="715" t="s">
        <v>301</v>
      </c>
      <c r="AY447" s="717" t="s">
        <v>863</v>
      </c>
    </row>
    <row r="448" spans="2:65" s="715" customFormat="1" ht="11.4" x14ac:dyDescent="0.25">
      <c r="B448" s="714"/>
      <c r="D448" s="716" t="s">
        <v>868</v>
      </c>
      <c r="E448" s="717" t="s">
        <v>725</v>
      </c>
      <c r="F448" s="718" t="s">
        <v>869</v>
      </c>
      <c r="H448" s="717" t="s">
        <v>725</v>
      </c>
      <c r="K448" s="719"/>
      <c r="L448" s="714"/>
      <c r="M448" s="720"/>
      <c r="T448" s="721"/>
      <c r="AT448" s="717" t="s">
        <v>868</v>
      </c>
      <c r="AU448" s="717" t="s">
        <v>101</v>
      </c>
      <c r="AV448" s="715" t="s">
        <v>99</v>
      </c>
      <c r="AW448" s="715" t="s">
        <v>870</v>
      </c>
      <c r="AX448" s="715" t="s">
        <v>301</v>
      </c>
      <c r="AY448" s="717" t="s">
        <v>863</v>
      </c>
    </row>
    <row r="449" spans="2:65" s="715" customFormat="1" ht="11.4" x14ac:dyDescent="0.25">
      <c r="B449" s="714"/>
      <c r="D449" s="716" t="s">
        <v>868</v>
      </c>
      <c r="E449" s="717" t="s">
        <v>725</v>
      </c>
      <c r="F449" s="718" t="s">
        <v>887</v>
      </c>
      <c r="H449" s="717" t="s">
        <v>725</v>
      </c>
      <c r="K449" s="719"/>
      <c r="L449" s="714"/>
      <c r="M449" s="720"/>
      <c r="T449" s="721"/>
      <c r="AT449" s="717" t="s">
        <v>868</v>
      </c>
      <c r="AU449" s="717" t="s">
        <v>101</v>
      </c>
      <c r="AV449" s="715" t="s">
        <v>99</v>
      </c>
      <c r="AW449" s="715" t="s">
        <v>870</v>
      </c>
      <c r="AX449" s="715" t="s">
        <v>301</v>
      </c>
      <c r="AY449" s="717" t="s">
        <v>863</v>
      </c>
    </row>
    <row r="450" spans="2:65" s="715" customFormat="1" ht="11.4" x14ac:dyDescent="0.25">
      <c r="B450" s="714"/>
      <c r="D450" s="716" t="s">
        <v>868</v>
      </c>
      <c r="E450" s="717" t="s">
        <v>725</v>
      </c>
      <c r="F450" s="718" t="s">
        <v>888</v>
      </c>
      <c r="H450" s="717" t="s">
        <v>725</v>
      </c>
      <c r="K450" s="719"/>
      <c r="L450" s="714"/>
      <c r="M450" s="720"/>
      <c r="T450" s="721"/>
      <c r="AT450" s="717" t="s">
        <v>868</v>
      </c>
      <c r="AU450" s="717" t="s">
        <v>101</v>
      </c>
      <c r="AV450" s="715" t="s">
        <v>99</v>
      </c>
      <c r="AW450" s="715" t="s">
        <v>870</v>
      </c>
      <c r="AX450" s="715" t="s">
        <v>301</v>
      </c>
      <c r="AY450" s="717" t="s">
        <v>863</v>
      </c>
    </row>
    <row r="451" spans="2:65" s="723" customFormat="1" ht="11.4" x14ac:dyDescent="0.25">
      <c r="B451" s="722"/>
      <c r="D451" s="716" t="s">
        <v>868</v>
      </c>
      <c r="E451" s="724" t="s">
        <v>725</v>
      </c>
      <c r="F451" s="725" t="s">
        <v>800</v>
      </c>
      <c r="H451" s="726">
        <v>1.03</v>
      </c>
      <c r="K451" s="727"/>
      <c r="L451" s="722"/>
      <c r="M451" s="728"/>
      <c r="T451" s="729"/>
      <c r="AT451" s="724" t="s">
        <v>868</v>
      </c>
      <c r="AU451" s="724" t="s">
        <v>101</v>
      </c>
      <c r="AV451" s="723" t="s">
        <v>101</v>
      </c>
      <c r="AW451" s="723" t="s">
        <v>870</v>
      </c>
      <c r="AX451" s="723" t="s">
        <v>301</v>
      </c>
      <c r="AY451" s="724" t="s">
        <v>863</v>
      </c>
    </row>
    <row r="452" spans="2:65" s="723" customFormat="1" ht="11.4" x14ac:dyDescent="0.25">
      <c r="B452" s="722"/>
      <c r="D452" s="716" t="s">
        <v>868</v>
      </c>
      <c r="E452" s="724" t="s">
        <v>725</v>
      </c>
      <c r="F452" s="725" t="s">
        <v>803</v>
      </c>
      <c r="H452" s="726">
        <v>6.39</v>
      </c>
      <c r="K452" s="727"/>
      <c r="L452" s="722"/>
      <c r="M452" s="728"/>
      <c r="T452" s="729"/>
      <c r="AT452" s="724" t="s">
        <v>868</v>
      </c>
      <c r="AU452" s="724" t="s">
        <v>101</v>
      </c>
      <c r="AV452" s="723" t="s">
        <v>101</v>
      </c>
      <c r="AW452" s="723" t="s">
        <v>870</v>
      </c>
      <c r="AX452" s="723" t="s">
        <v>301</v>
      </c>
      <c r="AY452" s="724" t="s">
        <v>863</v>
      </c>
    </row>
    <row r="453" spans="2:65" s="723" customFormat="1" ht="11.4" x14ac:dyDescent="0.25">
      <c r="B453" s="722"/>
      <c r="D453" s="716" t="s">
        <v>868</v>
      </c>
      <c r="E453" s="724" t="s">
        <v>725</v>
      </c>
      <c r="F453" s="725" t="s">
        <v>814</v>
      </c>
      <c r="H453" s="726">
        <v>11.82</v>
      </c>
      <c r="K453" s="727"/>
      <c r="L453" s="722"/>
      <c r="M453" s="728"/>
      <c r="T453" s="729"/>
      <c r="AT453" s="724" t="s">
        <v>868</v>
      </c>
      <c r="AU453" s="724" t="s">
        <v>101</v>
      </c>
      <c r="AV453" s="723" t="s">
        <v>101</v>
      </c>
      <c r="AW453" s="723" t="s">
        <v>870</v>
      </c>
      <c r="AX453" s="723" t="s">
        <v>301</v>
      </c>
      <c r="AY453" s="724" t="s">
        <v>863</v>
      </c>
    </row>
    <row r="454" spans="2:65" s="723" customFormat="1" ht="11.4" x14ac:dyDescent="0.25">
      <c r="B454" s="722"/>
      <c r="D454" s="716" t="s">
        <v>868</v>
      </c>
      <c r="E454" s="724" t="s">
        <v>725</v>
      </c>
      <c r="F454" s="725" t="s">
        <v>759</v>
      </c>
      <c r="H454" s="726">
        <v>30.16</v>
      </c>
      <c r="K454" s="727"/>
      <c r="L454" s="722"/>
      <c r="M454" s="728"/>
      <c r="T454" s="729"/>
      <c r="AT454" s="724" t="s">
        <v>868</v>
      </c>
      <c r="AU454" s="724" t="s">
        <v>101</v>
      </c>
      <c r="AV454" s="723" t="s">
        <v>101</v>
      </c>
      <c r="AW454" s="723" t="s">
        <v>870</v>
      </c>
      <c r="AX454" s="723" t="s">
        <v>301</v>
      </c>
      <c r="AY454" s="724" t="s">
        <v>863</v>
      </c>
    </row>
    <row r="455" spans="2:65" s="723" customFormat="1" ht="11.4" x14ac:dyDescent="0.25">
      <c r="B455" s="722"/>
      <c r="D455" s="716" t="s">
        <v>868</v>
      </c>
      <c r="E455" s="724" t="s">
        <v>725</v>
      </c>
      <c r="F455" s="725" t="s">
        <v>1110</v>
      </c>
      <c r="H455" s="726">
        <v>8.8800000000000008</v>
      </c>
      <c r="K455" s="727"/>
      <c r="L455" s="722"/>
      <c r="M455" s="728"/>
      <c r="T455" s="729"/>
      <c r="AT455" s="724" t="s">
        <v>868</v>
      </c>
      <c r="AU455" s="724" t="s">
        <v>101</v>
      </c>
      <c r="AV455" s="723" t="s">
        <v>101</v>
      </c>
      <c r="AW455" s="723" t="s">
        <v>870</v>
      </c>
      <c r="AX455" s="723" t="s">
        <v>301</v>
      </c>
      <c r="AY455" s="724" t="s">
        <v>863</v>
      </c>
    </row>
    <row r="456" spans="2:65" s="723" customFormat="1" ht="11.4" x14ac:dyDescent="0.25">
      <c r="B456" s="722"/>
      <c r="D456" s="716" t="s">
        <v>868</v>
      </c>
      <c r="E456" s="724" t="s">
        <v>725</v>
      </c>
      <c r="F456" s="725" t="s">
        <v>818</v>
      </c>
      <c r="H456" s="726">
        <v>8.14</v>
      </c>
      <c r="K456" s="727"/>
      <c r="L456" s="722"/>
      <c r="M456" s="728"/>
      <c r="T456" s="729"/>
      <c r="AT456" s="724" t="s">
        <v>868</v>
      </c>
      <c r="AU456" s="724" t="s">
        <v>101</v>
      </c>
      <c r="AV456" s="723" t="s">
        <v>101</v>
      </c>
      <c r="AW456" s="723" t="s">
        <v>870</v>
      </c>
      <c r="AX456" s="723" t="s">
        <v>301</v>
      </c>
      <c r="AY456" s="724" t="s">
        <v>863</v>
      </c>
    </row>
    <row r="457" spans="2:65" s="731" customFormat="1" ht="11.4" x14ac:dyDescent="0.25">
      <c r="B457" s="730"/>
      <c r="D457" s="716" t="s">
        <v>868</v>
      </c>
      <c r="E457" s="732" t="s">
        <v>725</v>
      </c>
      <c r="F457" s="733" t="s">
        <v>873</v>
      </c>
      <c r="H457" s="734">
        <v>66.42</v>
      </c>
      <c r="K457" s="735"/>
      <c r="L457" s="730"/>
      <c r="M457" s="736"/>
      <c r="T457" s="737"/>
      <c r="AT457" s="732" t="s">
        <v>868</v>
      </c>
      <c r="AU457" s="732" t="s">
        <v>101</v>
      </c>
      <c r="AV457" s="731" t="s">
        <v>103</v>
      </c>
      <c r="AW457" s="731" t="s">
        <v>870</v>
      </c>
      <c r="AX457" s="731" t="s">
        <v>99</v>
      </c>
      <c r="AY457" s="732" t="s">
        <v>863</v>
      </c>
    </row>
    <row r="458" spans="2:65" s="163" customFormat="1" ht="14.4" customHeight="1" x14ac:dyDescent="0.25">
      <c r="B458" s="702"/>
      <c r="C458" s="738" t="s">
        <v>1111</v>
      </c>
      <c r="D458" s="738" t="s">
        <v>298</v>
      </c>
      <c r="E458" s="739" t="s">
        <v>1112</v>
      </c>
      <c r="F458" s="740" t="s">
        <v>1113</v>
      </c>
      <c r="G458" s="741" t="s">
        <v>15</v>
      </c>
      <c r="H458" s="742">
        <v>31.065000000000001</v>
      </c>
      <c r="I458" s="743"/>
      <c r="J458" s="743">
        <f>ROUND(I458*H458,2)</f>
        <v>0</v>
      </c>
      <c r="K458" s="740" t="s">
        <v>2622</v>
      </c>
      <c r="L458" s="744"/>
      <c r="M458" s="745" t="s">
        <v>725</v>
      </c>
      <c r="N458" s="746" t="s">
        <v>813</v>
      </c>
      <c r="O458" s="711">
        <v>0</v>
      </c>
      <c r="P458" s="711">
        <f>O458*H458</f>
        <v>0</v>
      </c>
      <c r="Q458" s="711">
        <v>0.113</v>
      </c>
      <c r="R458" s="711">
        <f>Q458*H458</f>
        <v>3.510345</v>
      </c>
      <c r="S458" s="711">
        <v>0</v>
      </c>
      <c r="T458" s="712">
        <f>S458*H458</f>
        <v>0</v>
      </c>
      <c r="AR458" s="668" t="s">
        <v>111</v>
      </c>
      <c r="AT458" s="668" t="s">
        <v>298</v>
      </c>
      <c r="AU458" s="668" t="s">
        <v>101</v>
      </c>
      <c r="AY458" s="157" t="s">
        <v>863</v>
      </c>
      <c r="BE458" s="713">
        <f>IF(N458="základní",J458,0)</f>
        <v>0</v>
      </c>
      <c r="BF458" s="713">
        <f>IF(N458="snížená",J458,0)</f>
        <v>0</v>
      </c>
      <c r="BG458" s="713">
        <f>IF(N458="zákl. přenesená",J458,0)</f>
        <v>0</v>
      </c>
      <c r="BH458" s="713">
        <f>IF(N458="sníž. přenesená",J458,0)</f>
        <v>0</v>
      </c>
      <c r="BI458" s="713">
        <f>IF(N458="nulová",J458,0)</f>
        <v>0</v>
      </c>
      <c r="BJ458" s="157" t="s">
        <v>99</v>
      </c>
      <c r="BK458" s="713">
        <f>ROUND(I458*H458,2)</f>
        <v>0</v>
      </c>
      <c r="BL458" s="157" t="s">
        <v>103</v>
      </c>
      <c r="BM458" s="668" t="s">
        <v>1114</v>
      </c>
    </row>
    <row r="459" spans="2:65" s="723" customFormat="1" ht="11.4" x14ac:dyDescent="0.25">
      <c r="B459" s="722"/>
      <c r="D459" s="716" t="s">
        <v>868</v>
      </c>
      <c r="E459" s="724" t="s">
        <v>725</v>
      </c>
      <c r="F459" s="725" t="s">
        <v>759</v>
      </c>
      <c r="H459" s="726">
        <v>30.16</v>
      </c>
      <c r="K459" s="727"/>
      <c r="L459" s="722"/>
      <c r="M459" s="728"/>
      <c r="T459" s="729"/>
      <c r="AT459" s="724" t="s">
        <v>868</v>
      </c>
      <c r="AU459" s="724" t="s">
        <v>101</v>
      </c>
      <c r="AV459" s="723" t="s">
        <v>101</v>
      </c>
      <c r="AW459" s="723" t="s">
        <v>870</v>
      </c>
      <c r="AX459" s="723" t="s">
        <v>99</v>
      </c>
      <c r="AY459" s="724" t="s">
        <v>863</v>
      </c>
    </row>
    <row r="460" spans="2:65" s="723" customFormat="1" ht="11.4" x14ac:dyDescent="0.25">
      <c r="B460" s="722"/>
      <c r="D460" s="716" t="s">
        <v>868</v>
      </c>
      <c r="F460" s="725" t="s">
        <v>1115</v>
      </c>
      <c r="H460" s="726">
        <v>31.065000000000001</v>
      </c>
      <c r="K460" s="727"/>
      <c r="L460" s="722"/>
      <c r="M460" s="728"/>
      <c r="T460" s="729"/>
      <c r="AT460" s="724" t="s">
        <v>868</v>
      </c>
      <c r="AU460" s="724" t="s">
        <v>101</v>
      </c>
      <c r="AV460" s="723" t="s">
        <v>101</v>
      </c>
      <c r="AW460" s="723" t="s">
        <v>699</v>
      </c>
      <c r="AX460" s="723" t="s">
        <v>99</v>
      </c>
      <c r="AY460" s="724" t="s">
        <v>863</v>
      </c>
    </row>
    <row r="461" spans="2:65" s="163" customFormat="1" ht="14.4" customHeight="1" x14ac:dyDescent="0.25">
      <c r="B461" s="702"/>
      <c r="C461" s="738" t="s">
        <v>1116</v>
      </c>
      <c r="D461" s="738" t="s">
        <v>298</v>
      </c>
      <c r="E461" s="739" t="s">
        <v>1117</v>
      </c>
      <c r="F461" s="740" t="s">
        <v>1118</v>
      </c>
      <c r="G461" s="741" t="s">
        <v>15</v>
      </c>
      <c r="H461" s="742">
        <v>28.201000000000001</v>
      </c>
      <c r="I461" s="743"/>
      <c r="J461" s="743">
        <f>ROUND(I461*H461,2)</f>
        <v>0</v>
      </c>
      <c r="K461" s="740" t="s">
        <v>2622</v>
      </c>
      <c r="L461" s="744"/>
      <c r="M461" s="745" t="s">
        <v>725</v>
      </c>
      <c r="N461" s="746" t="s">
        <v>813</v>
      </c>
      <c r="O461" s="711">
        <v>0</v>
      </c>
      <c r="P461" s="711">
        <f>O461*H461</f>
        <v>0</v>
      </c>
      <c r="Q461" s="711">
        <v>0.13</v>
      </c>
      <c r="R461" s="711">
        <f>Q461*H461</f>
        <v>3.6661300000000003</v>
      </c>
      <c r="S461" s="711">
        <v>0</v>
      </c>
      <c r="T461" s="712">
        <f>S461*H461</f>
        <v>0</v>
      </c>
      <c r="AR461" s="668" t="s">
        <v>111</v>
      </c>
      <c r="AT461" s="668" t="s">
        <v>298</v>
      </c>
      <c r="AU461" s="668" t="s">
        <v>101</v>
      </c>
      <c r="AY461" s="157" t="s">
        <v>863</v>
      </c>
      <c r="BE461" s="713">
        <f>IF(N461="základní",J461,0)</f>
        <v>0</v>
      </c>
      <c r="BF461" s="713">
        <f>IF(N461="snížená",J461,0)</f>
        <v>0</v>
      </c>
      <c r="BG461" s="713">
        <f>IF(N461="zákl. přenesená",J461,0)</f>
        <v>0</v>
      </c>
      <c r="BH461" s="713">
        <f>IF(N461="sníž. přenesená",J461,0)</f>
        <v>0</v>
      </c>
      <c r="BI461" s="713">
        <f>IF(N461="nulová",J461,0)</f>
        <v>0</v>
      </c>
      <c r="BJ461" s="157" t="s">
        <v>99</v>
      </c>
      <c r="BK461" s="713">
        <f>ROUND(I461*H461,2)</f>
        <v>0</v>
      </c>
      <c r="BL461" s="157" t="s">
        <v>103</v>
      </c>
      <c r="BM461" s="668" t="s">
        <v>1119</v>
      </c>
    </row>
    <row r="462" spans="2:65" s="723" customFormat="1" ht="11.4" x14ac:dyDescent="0.25">
      <c r="B462" s="722"/>
      <c r="D462" s="716" t="s">
        <v>868</v>
      </c>
      <c r="E462" s="724" t="s">
        <v>725</v>
      </c>
      <c r="F462" s="725" t="s">
        <v>800</v>
      </c>
      <c r="H462" s="726">
        <v>1.03</v>
      </c>
      <c r="K462" s="727"/>
      <c r="L462" s="722"/>
      <c r="M462" s="728"/>
      <c r="T462" s="729"/>
      <c r="AT462" s="724" t="s">
        <v>868</v>
      </c>
      <c r="AU462" s="724" t="s">
        <v>101</v>
      </c>
      <c r="AV462" s="723" t="s">
        <v>101</v>
      </c>
      <c r="AW462" s="723" t="s">
        <v>870</v>
      </c>
      <c r="AX462" s="723" t="s">
        <v>301</v>
      </c>
      <c r="AY462" s="724" t="s">
        <v>863</v>
      </c>
    </row>
    <row r="463" spans="2:65" s="723" customFormat="1" ht="11.4" x14ac:dyDescent="0.25">
      <c r="B463" s="722"/>
      <c r="D463" s="716" t="s">
        <v>868</v>
      </c>
      <c r="E463" s="724" t="s">
        <v>725</v>
      </c>
      <c r="F463" s="725" t="s">
        <v>803</v>
      </c>
      <c r="H463" s="726">
        <v>6.39</v>
      </c>
      <c r="K463" s="727"/>
      <c r="L463" s="722"/>
      <c r="M463" s="728"/>
      <c r="T463" s="729"/>
      <c r="AT463" s="724" t="s">
        <v>868</v>
      </c>
      <c r="AU463" s="724" t="s">
        <v>101</v>
      </c>
      <c r="AV463" s="723" t="s">
        <v>101</v>
      </c>
      <c r="AW463" s="723" t="s">
        <v>870</v>
      </c>
      <c r="AX463" s="723" t="s">
        <v>301</v>
      </c>
      <c r="AY463" s="724" t="s">
        <v>863</v>
      </c>
    </row>
    <row r="464" spans="2:65" s="723" customFormat="1" ht="11.4" x14ac:dyDescent="0.25">
      <c r="B464" s="722"/>
      <c r="D464" s="716" t="s">
        <v>868</v>
      </c>
      <c r="E464" s="724" t="s">
        <v>725</v>
      </c>
      <c r="F464" s="725" t="s">
        <v>814</v>
      </c>
      <c r="H464" s="726">
        <v>11.82</v>
      </c>
      <c r="K464" s="727"/>
      <c r="L464" s="722"/>
      <c r="M464" s="728"/>
      <c r="T464" s="729"/>
      <c r="AT464" s="724" t="s">
        <v>868</v>
      </c>
      <c r="AU464" s="724" t="s">
        <v>101</v>
      </c>
      <c r="AV464" s="723" t="s">
        <v>101</v>
      </c>
      <c r="AW464" s="723" t="s">
        <v>870</v>
      </c>
      <c r="AX464" s="723" t="s">
        <v>301</v>
      </c>
      <c r="AY464" s="724" t="s">
        <v>863</v>
      </c>
    </row>
    <row r="465" spans="2:65" s="723" customFormat="1" ht="11.4" x14ac:dyDescent="0.25">
      <c r="B465" s="722"/>
      <c r="D465" s="716" t="s">
        <v>868</v>
      </c>
      <c r="E465" s="724" t="s">
        <v>725</v>
      </c>
      <c r="F465" s="725" t="s">
        <v>818</v>
      </c>
      <c r="H465" s="726">
        <v>8.14</v>
      </c>
      <c r="K465" s="727"/>
      <c r="L465" s="722"/>
      <c r="M465" s="728"/>
      <c r="T465" s="729"/>
      <c r="AT465" s="724" t="s">
        <v>868</v>
      </c>
      <c r="AU465" s="724" t="s">
        <v>101</v>
      </c>
      <c r="AV465" s="723" t="s">
        <v>101</v>
      </c>
      <c r="AW465" s="723" t="s">
        <v>870</v>
      </c>
      <c r="AX465" s="723" t="s">
        <v>301</v>
      </c>
      <c r="AY465" s="724" t="s">
        <v>863</v>
      </c>
    </row>
    <row r="466" spans="2:65" s="731" customFormat="1" ht="11.4" x14ac:dyDescent="0.25">
      <c r="B466" s="730"/>
      <c r="D466" s="716" t="s">
        <v>868</v>
      </c>
      <c r="E466" s="732" t="s">
        <v>725</v>
      </c>
      <c r="F466" s="733" t="s">
        <v>873</v>
      </c>
      <c r="H466" s="734">
        <v>27.38</v>
      </c>
      <c r="K466" s="735"/>
      <c r="L466" s="730"/>
      <c r="M466" s="736"/>
      <c r="T466" s="737"/>
      <c r="AT466" s="732" t="s">
        <v>868</v>
      </c>
      <c r="AU466" s="732" t="s">
        <v>101</v>
      </c>
      <c r="AV466" s="731" t="s">
        <v>103</v>
      </c>
      <c r="AW466" s="731" t="s">
        <v>870</v>
      </c>
      <c r="AX466" s="731" t="s">
        <v>99</v>
      </c>
      <c r="AY466" s="732" t="s">
        <v>863</v>
      </c>
    </row>
    <row r="467" spans="2:65" s="723" customFormat="1" ht="11.4" x14ac:dyDescent="0.25">
      <c r="B467" s="722"/>
      <c r="D467" s="716" t="s">
        <v>868</v>
      </c>
      <c r="F467" s="725" t="s">
        <v>1120</v>
      </c>
      <c r="H467" s="726">
        <v>28.201000000000001</v>
      </c>
      <c r="K467" s="727"/>
      <c r="L467" s="722"/>
      <c r="M467" s="728"/>
      <c r="T467" s="729"/>
      <c r="AT467" s="724" t="s">
        <v>868</v>
      </c>
      <c r="AU467" s="724" t="s">
        <v>101</v>
      </c>
      <c r="AV467" s="723" t="s">
        <v>101</v>
      </c>
      <c r="AW467" s="723" t="s">
        <v>699</v>
      </c>
      <c r="AX467" s="723" t="s">
        <v>99</v>
      </c>
      <c r="AY467" s="724" t="s">
        <v>863</v>
      </c>
    </row>
    <row r="468" spans="2:65" s="163" customFormat="1" ht="51" customHeight="1" x14ac:dyDescent="0.25">
      <c r="B468" s="702"/>
      <c r="C468" s="703" t="s">
        <v>1121</v>
      </c>
      <c r="D468" s="703" t="s">
        <v>864</v>
      </c>
      <c r="E468" s="704" t="s">
        <v>1122</v>
      </c>
      <c r="F468" s="705" t="s">
        <v>1123</v>
      </c>
      <c r="G468" s="706" t="s">
        <v>15</v>
      </c>
      <c r="H468" s="707">
        <v>121.645</v>
      </c>
      <c r="I468" s="708"/>
      <c r="J468" s="708">
        <f>ROUND(I468*H468,2)</f>
        <v>0</v>
      </c>
      <c r="K468" s="705" t="s">
        <v>2622</v>
      </c>
      <c r="L468" s="164"/>
      <c r="M468" s="709" t="s">
        <v>725</v>
      </c>
      <c r="N468" s="710" t="s">
        <v>813</v>
      </c>
      <c r="O468" s="711">
        <v>0.75700000000000001</v>
      </c>
      <c r="P468" s="711">
        <f>O468*H468</f>
        <v>92.085264999999993</v>
      </c>
      <c r="Q468" s="711">
        <v>0.10362</v>
      </c>
      <c r="R468" s="711">
        <f>Q468*H468</f>
        <v>12.604854899999999</v>
      </c>
      <c r="S468" s="711">
        <v>0</v>
      </c>
      <c r="T468" s="712">
        <f>S468*H468</f>
        <v>0</v>
      </c>
      <c r="AR468" s="668" t="s">
        <v>103</v>
      </c>
      <c r="AT468" s="668" t="s">
        <v>864</v>
      </c>
      <c r="AU468" s="668" t="s">
        <v>101</v>
      </c>
      <c r="AY468" s="157" t="s">
        <v>863</v>
      </c>
      <c r="BE468" s="713">
        <f>IF(N468="základní",J468,0)</f>
        <v>0</v>
      </c>
      <c r="BF468" s="713">
        <f>IF(N468="snížená",J468,0)</f>
        <v>0</v>
      </c>
      <c r="BG468" s="713">
        <f>IF(N468="zákl. přenesená",J468,0)</f>
        <v>0</v>
      </c>
      <c r="BH468" s="713">
        <f>IF(N468="sníž. přenesená",J468,0)</f>
        <v>0</v>
      </c>
      <c r="BI468" s="713">
        <f>IF(N468="nulová",J468,0)</f>
        <v>0</v>
      </c>
      <c r="BJ468" s="157" t="s">
        <v>99</v>
      </c>
      <c r="BK468" s="713">
        <f>ROUND(I468*H468,2)</f>
        <v>0</v>
      </c>
      <c r="BL468" s="157" t="s">
        <v>103</v>
      </c>
      <c r="BM468" s="668" t="s">
        <v>1124</v>
      </c>
    </row>
    <row r="469" spans="2:65" s="715" customFormat="1" ht="11.4" x14ac:dyDescent="0.25">
      <c r="B469" s="714"/>
      <c r="D469" s="716" t="s">
        <v>868</v>
      </c>
      <c r="E469" s="717" t="s">
        <v>725</v>
      </c>
      <c r="F469" s="718" t="s">
        <v>881</v>
      </c>
      <c r="H469" s="717" t="s">
        <v>725</v>
      </c>
      <c r="K469" s="719"/>
      <c r="L469" s="714"/>
      <c r="M469" s="720"/>
      <c r="T469" s="721"/>
      <c r="AT469" s="717" t="s">
        <v>868</v>
      </c>
      <c r="AU469" s="717" t="s">
        <v>101</v>
      </c>
      <c r="AV469" s="715" t="s">
        <v>99</v>
      </c>
      <c r="AW469" s="715" t="s">
        <v>870</v>
      </c>
      <c r="AX469" s="715" t="s">
        <v>301</v>
      </c>
      <c r="AY469" s="717" t="s">
        <v>863</v>
      </c>
    </row>
    <row r="470" spans="2:65" s="715" customFormat="1" ht="11.4" x14ac:dyDescent="0.25">
      <c r="B470" s="714"/>
      <c r="D470" s="716" t="s">
        <v>868</v>
      </c>
      <c r="E470" s="717" t="s">
        <v>725</v>
      </c>
      <c r="F470" s="718" t="s">
        <v>869</v>
      </c>
      <c r="H470" s="717" t="s">
        <v>725</v>
      </c>
      <c r="K470" s="719"/>
      <c r="L470" s="714"/>
      <c r="M470" s="720"/>
      <c r="T470" s="721"/>
      <c r="AT470" s="717" t="s">
        <v>868</v>
      </c>
      <c r="AU470" s="717" t="s">
        <v>101</v>
      </c>
      <c r="AV470" s="715" t="s">
        <v>99</v>
      </c>
      <c r="AW470" s="715" t="s">
        <v>870</v>
      </c>
      <c r="AX470" s="715" t="s">
        <v>301</v>
      </c>
      <c r="AY470" s="717" t="s">
        <v>863</v>
      </c>
    </row>
    <row r="471" spans="2:65" s="715" customFormat="1" ht="11.4" x14ac:dyDescent="0.25">
      <c r="B471" s="714"/>
      <c r="D471" s="716" t="s">
        <v>868</v>
      </c>
      <c r="E471" s="717" t="s">
        <v>725</v>
      </c>
      <c r="F471" s="718" t="s">
        <v>887</v>
      </c>
      <c r="H471" s="717" t="s">
        <v>725</v>
      </c>
      <c r="K471" s="719"/>
      <c r="L471" s="714"/>
      <c r="M471" s="720"/>
      <c r="T471" s="721"/>
      <c r="AT471" s="717" t="s">
        <v>868</v>
      </c>
      <c r="AU471" s="717" t="s">
        <v>101</v>
      </c>
      <c r="AV471" s="715" t="s">
        <v>99</v>
      </c>
      <c r="AW471" s="715" t="s">
        <v>870</v>
      </c>
      <c r="AX471" s="715" t="s">
        <v>301</v>
      </c>
      <c r="AY471" s="717" t="s">
        <v>863</v>
      </c>
    </row>
    <row r="472" spans="2:65" s="715" customFormat="1" ht="11.4" x14ac:dyDescent="0.25">
      <c r="B472" s="714"/>
      <c r="D472" s="716" t="s">
        <v>868</v>
      </c>
      <c r="E472" s="717" t="s">
        <v>725</v>
      </c>
      <c r="F472" s="718" t="s">
        <v>888</v>
      </c>
      <c r="H472" s="717" t="s">
        <v>725</v>
      </c>
      <c r="K472" s="719"/>
      <c r="L472" s="714"/>
      <c r="M472" s="720"/>
      <c r="T472" s="721"/>
      <c r="AT472" s="717" t="s">
        <v>868</v>
      </c>
      <c r="AU472" s="717" t="s">
        <v>101</v>
      </c>
      <c r="AV472" s="715" t="s">
        <v>99</v>
      </c>
      <c r="AW472" s="715" t="s">
        <v>870</v>
      </c>
      <c r="AX472" s="715" t="s">
        <v>301</v>
      </c>
      <c r="AY472" s="717" t="s">
        <v>863</v>
      </c>
    </row>
    <row r="473" spans="2:65" s="723" customFormat="1" ht="11.4" x14ac:dyDescent="0.25">
      <c r="B473" s="722"/>
      <c r="D473" s="716" t="s">
        <v>868</v>
      </c>
      <c r="E473" s="724" t="s">
        <v>725</v>
      </c>
      <c r="F473" s="725" t="s">
        <v>710</v>
      </c>
      <c r="H473" s="726">
        <v>63.62</v>
      </c>
      <c r="K473" s="727"/>
      <c r="L473" s="722"/>
      <c r="M473" s="728"/>
      <c r="T473" s="729"/>
      <c r="AT473" s="724" t="s">
        <v>868</v>
      </c>
      <c r="AU473" s="724" t="s">
        <v>101</v>
      </c>
      <c r="AV473" s="723" t="s">
        <v>101</v>
      </c>
      <c r="AW473" s="723" t="s">
        <v>870</v>
      </c>
      <c r="AX473" s="723" t="s">
        <v>301</v>
      </c>
      <c r="AY473" s="724" t="s">
        <v>863</v>
      </c>
    </row>
    <row r="474" spans="2:65" s="723" customFormat="1" ht="11.4" x14ac:dyDescent="0.25">
      <c r="B474" s="722"/>
      <c r="D474" s="716" t="s">
        <v>868</v>
      </c>
      <c r="E474" s="724" t="s">
        <v>725</v>
      </c>
      <c r="F474" s="725" t="s">
        <v>707</v>
      </c>
      <c r="H474" s="726">
        <v>24.75</v>
      </c>
      <c r="K474" s="727"/>
      <c r="L474" s="722"/>
      <c r="M474" s="728"/>
      <c r="T474" s="729"/>
      <c r="AT474" s="724" t="s">
        <v>868</v>
      </c>
      <c r="AU474" s="724" t="s">
        <v>101</v>
      </c>
      <c r="AV474" s="723" t="s">
        <v>101</v>
      </c>
      <c r="AW474" s="723" t="s">
        <v>870</v>
      </c>
      <c r="AX474" s="723" t="s">
        <v>301</v>
      </c>
      <c r="AY474" s="724" t="s">
        <v>863</v>
      </c>
    </row>
    <row r="475" spans="2:65" s="723" customFormat="1" ht="11.4" x14ac:dyDescent="0.25">
      <c r="B475" s="722"/>
      <c r="D475" s="716" t="s">
        <v>868</v>
      </c>
      <c r="E475" s="724" t="s">
        <v>725</v>
      </c>
      <c r="F475" s="725" t="s">
        <v>703</v>
      </c>
      <c r="H475" s="726">
        <v>33.274999999999999</v>
      </c>
      <c r="K475" s="727"/>
      <c r="L475" s="722"/>
      <c r="M475" s="728"/>
      <c r="T475" s="729"/>
      <c r="AT475" s="724" t="s">
        <v>868</v>
      </c>
      <c r="AU475" s="724" t="s">
        <v>101</v>
      </c>
      <c r="AV475" s="723" t="s">
        <v>101</v>
      </c>
      <c r="AW475" s="723" t="s">
        <v>870</v>
      </c>
      <c r="AX475" s="723" t="s">
        <v>301</v>
      </c>
      <c r="AY475" s="724" t="s">
        <v>863</v>
      </c>
    </row>
    <row r="476" spans="2:65" s="731" customFormat="1" ht="11.4" x14ac:dyDescent="0.25">
      <c r="B476" s="730"/>
      <c r="D476" s="716" t="s">
        <v>868</v>
      </c>
      <c r="E476" s="732" t="s">
        <v>725</v>
      </c>
      <c r="F476" s="733" t="s">
        <v>873</v>
      </c>
      <c r="H476" s="734">
        <v>121.645</v>
      </c>
      <c r="K476" s="735"/>
      <c r="L476" s="730"/>
      <c r="M476" s="736"/>
      <c r="T476" s="737"/>
      <c r="AT476" s="732" t="s">
        <v>868</v>
      </c>
      <c r="AU476" s="732" t="s">
        <v>101</v>
      </c>
      <c r="AV476" s="731" t="s">
        <v>103</v>
      </c>
      <c r="AW476" s="731" t="s">
        <v>870</v>
      </c>
      <c r="AX476" s="731" t="s">
        <v>99</v>
      </c>
      <c r="AY476" s="732" t="s">
        <v>863</v>
      </c>
    </row>
    <row r="477" spans="2:65" s="163" customFormat="1" ht="14.4" customHeight="1" x14ac:dyDescent="0.25">
      <c r="B477" s="702"/>
      <c r="C477" s="738" t="s">
        <v>1125</v>
      </c>
      <c r="D477" s="738" t="s">
        <v>298</v>
      </c>
      <c r="E477" s="739" t="s">
        <v>1126</v>
      </c>
      <c r="F477" s="740" t="s">
        <v>1127</v>
      </c>
      <c r="G477" s="741" t="s">
        <v>15</v>
      </c>
      <c r="H477" s="742">
        <v>59.765999999999998</v>
      </c>
      <c r="I477" s="743"/>
      <c r="J477" s="743">
        <f>ROUND(I477*H477,2)</f>
        <v>0</v>
      </c>
      <c r="K477" s="740" t="s">
        <v>2622</v>
      </c>
      <c r="L477" s="744"/>
      <c r="M477" s="745" t="s">
        <v>725</v>
      </c>
      <c r="N477" s="746" t="s">
        <v>813</v>
      </c>
      <c r="O477" s="711">
        <v>0</v>
      </c>
      <c r="P477" s="711">
        <f>O477*H477</f>
        <v>0</v>
      </c>
      <c r="Q477" s="711">
        <v>0.17599999999999999</v>
      </c>
      <c r="R477" s="711">
        <f>Q477*H477</f>
        <v>10.518815999999999</v>
      </c>
      <c r="S477" s="711">
        <v>0</v>
      </c>
      <c r="T477" s="712">
        <f>S477*H477</f>
        <v>0</v>
      </c>
      <c r="AR477" s="668" t="s">
        <v>111</v>
      </c>
      <c r="AT477" s="668" t="s">
        <v>298</v>
      </c>
      <c r="AU477" s="668" t="s">
        <v>101</v>
      </c>
      <c r="AY477" s="157" t="s">
        <v>863</v>
      </c>
      <c r="BE477" s="713">
        <f>IF(N477="základní",J477,0)</f>
        <v>0</v>
      </c>
      <c r="BF477" s="713">
        <f>IF(N477="snížená",J477,0)</f>
        <v>0</v>
      </c>
      <c r="BG477" s="713">
        <f>IF(N477="zákl. přenesená",J477,0)</f>
        <v>0</v>
      </c>
      <c r="BH477" s="713">
        <f>IF(N477="sníž. přenesená",J477,0)</f>
        <v>0</v>
      </c>
      <c r="BI477" s="713">
        <f>IF(N477="nulová",J477,0)</f>
        <v>0</v>
      </c>
      <c r="BJ477" s="157" t="s">
        <v>99</v>
      </c>
      <c r="BK477" s="713">
        <f>ROUND(I477*H477,2)</f>
        <v>0</v>
      </c>
      <c r="BL477" s="157" t="s">
        <v>103</v>
      </c>
      <c r="BM477" s="668" t="s">
        <v>1128</v>
      </c>
    </row>
    <row r="478" spans="2:65" s="723" customFormat="1" ht="11.4" x14ac:dyDescent="0.25">
      <c r="B478" s="722"/>
      <c r="D478" s="716" t="s">
        <v>868</v>
      </c>
      <c r="E478" s="724" t="s">
        <v>725</v>
      </c>
      <c r="F478" s="725" t="s">
        <v>707</v>
      </c>
      <c r="H478" s="726">
        <v>24.75</v>
      </c>
      <c r="K478" s="727"/>
      <c r="L478" s="722"/>
      <c r="M478" s="728"/>
      <c r="T478" s="729"/>
      <c r="AT478" s="724" t="s">
        <v>868</v>
      </c>
      <c r="AU478" s="724" t="s">
        <v>101</v>
      </c>
      <c r="AV478" s="723" t="s">
        <v>101</v>
      </c>
      <c r="AW478" s="723" t="s">
        <v>870</v>
      </c>
      <c r="AX478" s="723" t="s">
        <v>301</v>
      </c>
      <c r="AY478" s="724" t="s">
        <v>863</v>
      </c>
    </row>
    <row r="479" spans="2:65" s="723" customFormat="1" ht="11.4" x14ac:dyDescent="0.25">
      <c r="B479" s="722"/>
      <c r="D479" s="716" t="s">
        <v>868</v>
      </c>
      <c r="E479" s="724" t="s">
        <v>725</v>
      </c>
      <c r="F479" s="725" t="s">
        <v>703</v>
      </c>
      <c r="H479" s="726">
        <v>33.274999999999999</v>
      </c>
      <c r="K479" s="727"/>
      <c r="L479" s="722"/>
      <c r="M479" s="728"/>
      <c r="T479" s="729"/>
      <c r="AT479" s="724" t="s">
        <v>868</v>
      </c>
      <c r="AU479" s="724" t="s">
        <v>101</v>
      </c>
      <c r="AV479" s="723" t="s">
        <v>101</v>
      </c>
      <c r="AW479" s="723" t="s">
        <v>870</v>
      </c>
      <c r="AX479" s="723" t="s">
        <v>301</v>
      </c>
      <c r="AY479" s="724" t="s">
        <v>863</v>
      </c>
    </row>
    <row r="480" spans="2:65" s="731" customFormat="1" ht="11.4" x14ac:dyDescent="0.25">
      <c r="B480" s="730"/>
      <c r="D480" s="716" t="s">
        <v>868</v>
      </c>
      <c r="E480" s="732" t="s">
        <v>725</v>
      </c>
      <c r="F480" s="733" t="s">
        <v>873</v>
      </c>
      <c r="H480" s="734">
        <v>58.024999999999999</v>
      </c>
      <c r="K480" s="735"/>
      <c r="L480" s="730"/>
      <c r="M480" s="736"/>
      <c r="T480" s="737"/>
      <c r="AT480" s="732" t="s">
        <v>868</v>
      </c>
      <c r="AU480" s="732" t="s">
        <v>101</v>
      </c>
      <c r="AV480" s="731" t="s">
        <v>103</v>
      </c>
      <c r="AW480" s="731" t="s">
        <v>870</v>
      </c>
      <c r="AX480" s="731" t="s">
        <v>99</v>
      </c>
      <c r="AY480" s="732" t="s">
        <v>863</v>
      </c>
    </row>
    <row r="481" spans="2:65" s="723" customFormat="1" ht="11.4" x14ac:dyDescent="0.25">
      <c r="B481" s="722"/>
      <c r="D481" s="716" t="s">
        <v>868</v>
      </c>
      <c r="F481" s="725" t="s">
        <v>1129</v>
      </c>
      <c r="H481" s="726">
        <v>59.765999999999998</v>
      </c>
      <c r="K481" s="727"/>
      <c r="L481" s="722"/>
      <c r="M481" s="728"/>
      <c r="T481" s="729"/>
      <c r="AT481" s="724" t="s">
        <v>868</v>
      </c>
      <c r="AU481" s="724" t="s">
        <v>101</v>
      </c>
      <c r="AV481" s="723" t="s">
        <v>101</v>
      </c>
      <c r="AW481" s="723" t="s">
        <v>699</v>
      </c>
      <c r="AX481" s="723" t="s">
        <v>99</v>
      </c>
      <c r="AY481" s="724" t="s">
        <v>863</v>
      </c>
    </row>
    <row r="482" spans="2:65" s="163" customFormat="1" ht="41.4" customHeight="1" x14ac:dyDescent="0.25">
      <c r="B482" s="702"/>
      <c r="C482" s="703" t="s">
        <v>1130</v>
      </c>
      <c r="D482" s="703" t="s">
        <v>864</v>
      </c>
      <c r="E482" s="704" t="s">
        <v>1131</v>
      </c>
      <c r="F482" s="705" t="s">
        <v>1132</v>
      </c>
      <c r="G482" s="706" t="s">
        <v>15</v>
      </c>
      <c r="H482" s="707">
        <v>88</v>
      </c>
      <c r="I482" s="708"/>
      <c r="J482" s="708">
        <f>ROUND(I482*H482,2)</f>
        <v>0</v>
      </c>
      <c r="K482" s="705" t="s">
        <v>2622</v>
      </c>
      <c r="L482" s="164"/>
      <c r="M482" s="709" t="s">
        <v>725</v>
      </c>
      <c r="N482" s="710" t="s">
        <v>813</v>
      </c>
      <c r="O482" s="711">
        <v>0.63600000000000001</v>
      </c>
      <c r="P482" s="711">
        <f>O482*H482</f>
        <v>55.968000000000004</v>
      </c>
      <c r="Q482" s="711">
        <v>9.8000000000000004E-2</v>
      </c>
      <c r="R482" s="711">
        <f>Q482*H482</f>
        <v>8.6240000000000006</v>
      </c>
      <c r="S482" s="711">
        <v>0</v>
      </c>
      <c r="T482" s="712">
        <f>S482*H482</f>
        <v>0</v>
      </c>
      <c r="AR482" s="668" t="s">
        <v>103</v>
      </c>
      <c r="AT482" s="668" t="s">
        <v>864</v>
      </c>
      <c r="AU482" s="668" t="s">
        <v>101</v>
      </c>
      <c r="AY482" s="157" t="s">
        <v>863</v>
      </c>
      <c r="BE482" s="713">
        <f>IF(N482="základní",J482,0)</f>
        <v>0</v>
      </c>
      <c r="BF482" s="713">
        <f>IF(N482="snížená",J482,0)</f>
        <v>0</v>
      </c>
      <c r="BG482" s="713">
        <f>IF(N482="zákl. přenesená",J482,0)</f>
        <v>0</v>
      </c>
      <c r="BH482" s="713">
        <f>IF(N482="sníž. přenesená",J482,0)</f>
        <v>0</v>
      </c>
      <c r="BI482" s="713">
        <f>IF(N482="nulová",J482,0)</f>
        <v>0</v>
      </c>
      <c r="BJ482" s="157" t="s">
        <v>99</v>
      </c>
      <c r="BK482" s="713">
        <f>ROUND(I482*H482,2)</f>
        <v>0</v>
      </c>
      <c r="BL482" s="157" t="s">
        <v>103</v>
      </c>
      <c r="BM482" s="668" t="s">
        <v>1133</v>
      </c>
    </row>
    <row r="483" spans="2:65" s="715" customFormat="1" ht="11.4" x14ac:dyDescent="0.25">
      <c r="B483" s="714"/>
      <c r="D483" s="716" t="s">
        <v>868</v>
      </c>
      <c r="E483" s="717" t="s">
        <v>725</v>
      </c>
      <c r="F483" s="718" t="s">
        <v>881</v>
      </c>
      <c r="H483" s="717" t="s">
        <v>725</v>
      </c>
      <c r="K483" s="719"/>
      <c r="L483" s="714"/>
      <c r="M483" s="720"/>
      <c r="T483" s="721"/>
      <c r="AT483" s="717" t="s">
        <v>868</v>
      </c>
      <c r="AU483" s="717" t="s">
        <v>101</v>
      </c>
      <c r="AV483" s="715" t="s">
        <v>99</v>
      </c>
      <c r="AW483" s="715" t="s">
        <v>870</v>
      </c>
      <c r="AX483" s="715" t="s">
        <v>301</v>
      </c>
      <c r="AY483" s="717" t="s">
        <v>863</v>
      </c>
    </row>
    <row r="484" spans="2:65" s="715" customFormat="1" ht="11.4" x14ac:dyDescent="0.25">
      <c r="B484" s="714"/>
      <c r="D484" s="716" t="s">
        <v>868</v>
      </c>
      <c r="E484" s="717" t="s">
        <v>725</v>
      </c>
      <c r="F484" s="718" t="s">
        <v>869</v>
      </c>
      <c r="H484" s="717" t="s">
        <v>725</v>
      </c>
      <c r="K484" s="719"/>
      <c r="L484" s="714"/>
      <c r="M484" s="720"/>
      <c r="T484" s="721"/>
      <c r="AT484" s="717" t="s">
        <v>868</v>
      </c>
      <c r="AU484" s="717" t="s">
        <v>101</v>
      </c>
      <c r="AV484" s="715" t="s">
        <v>99</v>
      </c>
      <c r="AW484" s="715" t="s">
        <v>870</v>
      </c>
      <c r="AX484" s="715" t="s">
        <v>301</v>
      </c>
      <c r="AY484" s="717" t="s">
        <v>863</v>
      </c>
    </row>
    <row r="485" spans="2:65" s="715" customFormat="1" ht="11.4" x14ac:dyDescent="0.25">
      <c r="B485" s="714"/>
      <c r="D485" s="716" t="s">
        <v>868</v>
      </c>
      <c r="E485" s="717" t="s">
        <v>725</v>
      </c>
      <c r="F485" s="718" t="s">
        <v>887</v>
      </c>
      <c r="H485" s="717" t="s">
        <v>725</v>
      </c>
      <c r="K485" s="719"/>
      <c r="L485" s="714"/>
      <c r="M485" s="720"/>
      <c r="T485" s="721"/>
      <c r="AT485" s="717" t="s">
        <v>868</v>
      </c>
      <c r="AU485" s="717" t="s">
        <v>101</v>
      </c>
      <c r="AV485" s="715" t="s">
        <v>99</v>
      </c>
      <c r="AW485" s="715" t="s">
        <v>870</v>
      </c>
      <c r="AX485" s="715" t="s">
        <v>301</v>
      </c>
      <c r="AY485" s="717" t="s">
        <v>863</v>
      </c>
    </row>
    <row r="486" spans="2:65" s="715" customFormat="1" ht="11.4" x14ac:dyDescent="0.25">
      <c r="B486" s="714"/>
      <c r="D486" s="716" t="s">
        <v>868</v>
      </c>
      <c r="E486" s="717" t="s">
        <v>725</v>
      </c>
      <c r="F486" s="718" t="s">
        <v>888</v>
      </c>
      <c r="H486" s="717" t="s">
        <v>725</v>
      </c>
      <c r="K486" s="719"/>
      <c r="L486" s="714"/>
      <c r="M486" s="720"/>
      <c r="T486" s="721"/>
      <c r="AT486" s="717" t="s">
        <v>868</v>
      </c>
      <c r="AU486" s="717" t="s">
        <v>101</v>
      </c>
      <c r="AV486" s="715" t="s">
        <v>99</v>
      </c>
      <c r="AW486" s="715" t="s">
        <v>870</v>
      </c>
      <c r="AX486" s="715" t="s">
        <v>301</v>
      </c>
      <c r="AY486" s="717" t="s">
        <v>863</v>
      </c>
    </row>
    <row r="487" spans="2:65" s="723" customFormat="1" ht="11.4" x14ac:dyDescent="0.25">
      <c r="B487" s="722"/>
      <c r="D487" s="716" t="s">
        <v>868</v>
      </c>
      <c r="E487" s="724" t="s">
        <v>725</v>
      </c>
      <c r="F487" s="725" t="s">
        <v>694</v>
      </c>
      <c r="H487" s="726">
        <v>88</v>
      </c>
      <c r="K487" s="727"/>
      <c r="L487" s="722"/>
      <c r="M487" s="728"/>
      <c r="T487" s="729"/>
      <c r="AT487" s="724" t="s">
        <v>868</v>
      </c>
      <c r="AU487" s="724" t="s">
        <v>101</v>
      </c>
      <c r="AV487" s="723" t="s">
        <v>101</v>
      </c>
      <c r="AW487" s="723" t="s">
        <v>870</v>
      </c>
      <c r="AX487" s="723" t="s">
        <v>301</v>
      </c>
      <c r="AY487" s="724" t="s">
        <v>863</v>
      </c>
    </row>
    <row r="488" spans="2:65" s="731" customFormat="1" ht="11.4" x14ac:dyDescent="0.25">
      <c r="B488" s="730"/>
      <c r="D488" s="716" t="s">
        <v>868</v>
      </c>
      <c r="E488" s="732" t="s">
        <v>725</v>
      </c>
      <c r="F488" s="733" t="s">
        <v>873</v>
      </c>
      <c r="H488" s="734">
        <v>88</v>
      </c>
      <c r="K488" s="735"/>
      <c r="L488" s="730"/>
      <c r="M488" s="736"/>
      <c r="T488" s="737"/>
      <c r="AT488" s="732" t="s">
        <v>868</v>
      </c>
      <c r="AU488" s="732" t="s">
        <v>101</v>
      </c>
      <c r="AV488" s="731" t="s">
        <v>103</v>
      </c>
      <c r="AW488" s="731" t="s">
        <v>870</v>
      </c>
      <c r="AX488" s="731" t="s">
        <v>99</v>
      </c>
      <c r="AY488" s="732" t="s">
        <v>863</v>
      </c>
    </row>
    <row r="489" spans="2:65" s="163" customFormat="1" ht="24.15" customHeight="1" x14ac:dyDescent="0.25">
      <c r="B489" s="702"/>
      <c r="C489" s="738" t="s">
        <v>1134</v>
      </c>
      <c r="D489" s="738" t="s">
        <v>298</v>
      </c>
      <c r="E489" s="739" t="s">
        <v>1135</v>
      </c>
      <c r="F489" s="740" t="s">
        <v>1136</v>
      </c>
      <c r="G489" s="741" t="s">
        <v>15</v>
      </c>
      <c r="H489" s="742">
        <v>89.76</v>
      </c>
      <c r="I489" s="743"/>
      <c r="J489" s="743">
        <f>ROUND(I489*H489,2)</f>
        <v>0</v>
      </c>
      <c r="K489" s="740" t="s">
        <v>931</v>
      </c>
      <c r="L489" s="744"/>
      <c r="M489" s="745" t="s">
        <v>725</v>
      </c>
      <c r="N489" s="746" t="s">
        <v>813</v>
      </c>
      <c r="O489" s="711">
        <v>0</v>
      </c>
      <c r="P489" s="711">
        <f>O489*H489</f>
        <v>0</v>
      </c>
      <c r="Q489" s="711">
        <v>0.14000000000000001</v>
      </c>
      <c r="R489" s="711">
        <f>Q489*H489</f>
        <v>12.566400000000002</v>
      </c>
      <c r="S489" s="711">
        <v>0</v>
      </c>
      <c r="T489" s="712">
        <f>S489*H489</f>
        <v>0</v>
      </c>
      <c r="AR489" s="668" t="s">
        <v>111</v>
      </c>
      <c r="AT489" s="668" t="s">
        <v>298</v>
      </c>
      <c r="AU489" s="668" t="s">
        <v>101</v>
      </c>
      <c r="AY489" s="157" t="s">
        <v>863</v>
      </c>
      <c r="BE489" s="713">
        <f>IF(N489="základní",J489,0)</f>
        <v>0</v>
      </c>
      <c r="BF489" s="713">
        <f>IF(N489="snížená",J489,0)</f>
        <v>0</v>
      </c>
      <c r="BG489" s="713">
        <f>IF(N489="zákl. přenesená",J489,0)</f>
        <v>0</v>
      </c>
      <c r="BH489" s="713">
        <f>IF(N489="sníž. přenesená",J489,0)</f>
        <v>0</v>
      </c>
      <c r="BI489" s="713">
        <f>IF(N489="nulová",J489,0)</f>
        <v>0</v>
      </c>
      <c r="BJ489" s="157" t="s">
        <v>99</v>
      </c>
      <c r="BK489" s="713">
        <f>ROUND(I489*H489,2)</f>
        <v>0</v>
      </c>
      <c r="BL489" s="157" t="s">
        <v>103</v>
      </c>
      <c r="BM489" s="668" t="s">
        <v>1137</v>
      </c>
    </row>
    <row r="490" spans="2:65" s="723" customFormat="1" ht="11.4" x14ac:dyDescent="0.25">
      <c r="B490" s="722"/>
      <c r="D490" s="716" t="s">
        <v>868</v>
      </c>
      <c r="E490" s="724" t="s">
        <v>725</v>
      </c>
      <c r="F490" s="725" t="s">
        <v>694</v>
      </c>
      <c r="H490" s="726">
        <v>88</v>
      </c>
      <c r="K490" s="727"/>
      <c r="L490" s="722"/>
      <c r="M490" s="728"/>
      <c r="T490" s="729"/>
      <c r="AT490" s="724" t="s">
        <v>868</v>
      </c>
      <c r="AU490" s="724" t="s">
        <v>101</v>
      </c>
      <c r="AV490" s="723" t="s">
        <v>101</v>
      </c>
      <c r="AW490" s="723" t="s">
        <v>870</v>
      </c>
      <c r="AX490" s="723" t="s">
        <v>99</v>
      </c>
      <c r="AY490" s="724" t="s">
        <v>863</v>
      </c>
    </row>
    <row r="491" spans="2:65" s="723" customFormat="1" ht="11.4" x14ac:dyDescent="0.25">
      <c r="B491" s="722"/>
      <c r="D491" s="716" t="s">
        <v>868</v>
      </c>
      <c r="F491" s="725" t="s">
        <v>1138</v>
      </c>
      <c r="H491" s="726">
        <v>89.76</v>
      </c>
      <c r="K491" s="727"/>
      <c r="L491" s="722"/>
      <c r="M491" s="728"/>
      <c r="T491" s="729"/>
      <c r="AT491" s="724" t="s">
        <v>868</v>
      </c>
      <c r="AU491" s="724" t="s">
        <v>101</v>
      </c>
      <c r="AV491" s="723" t="s">
        <v>101</v>
      </c>
      <c r="AW491" s="723" t="s">
        <v>699</v>
      </c>
      <c r="AX491" s="723" t="s">
        <v>99</v>
      </c>
      <c r="AY491" s="724" t="s">
        <v>863</v>
      </c>
    </row>
    <row r="492" spans="2:65" s="163" customFormat="1" ht="46.95" customHeight="1" x14ac:dyDescent="0.25">
      <c r="B492" s="702"/>
      <c r="C492" s="703" t="s">
        <v>1139</v>
      </c>
      <c r="D492" s="703" t="s">
        <v>864</v>
      </c>
      <c r="E492" s="704" t="s">
        <v>1140</v>
      </c>
      <c r="F492" s="705" t="s">
        <v>1141</v>
      </c>
      <c r="G492" s="706" t="s">
        <v>15</v>
      </c>
      <c r="H492" s="707">
        <v>439.13</v>
      </c>
      <c r="I492" s="708"/>
      <c r="J492" s="708">
        <f>ROUND(I492*H492,2)</f>
        <v>0</v>
      </c>
      <c r="K492" s="705" t="s">
        <v>2622</v>
      </c>
      <c r="L492" s="164"/>
      <c r="M492" s="709" t="s">
        <v>725</v>
      </c>
      <c r="N492" s="710" t="s">
        <v>813</v>
      </c>
      <c r="O492" s="711">
        <v>0.64</v>
      </c>
      <c r="P492" s="711">
        <f>O492*H492</f>
        <v>281.04320000000001</v>
      </c>
      <c r="Q492" s="711">
        <v>8.8800000000000004E-2</v>
      </c>
      <c r="R492" s="711">
        <f>Q492*H492</f>
        <v>38.994744000000004</v>
      </c>
      <c r="S492" s="711">
        <v>0</v>
      </c>
      <c r="T492" s="712">
        <f>S492*H492</f>
        <v>0</v>
      </c>
      <c r="AR492" s="668" t="s">
        <v>103</v>
      </c>
      <c r="AT492" s="668" t="s">
        <v>864</v>
      </c>
      <c r="AU492" s="668" t="s">
        <v>101</v>
      </c>
      <c r="AY492" s="157" t="s">
        <v>863</v>
      </c>
      <c r="BE492" s="713">
        <f>IF(N492="základní",J492,0)</f>
        <v>0</v>
      </c>
      <c r="BF492" s="713">
        <f>IF(N492="snížená",J492,0)</f>
        <v>0</v>
      </c>
      <c r="BG492" s="713">
        <f>IF(N492="zákl. přenesená",J492,0)</f>
        <v>0</v>
      </c>
      <c r="BH492" s="713">
        <f>IF(N492="sníž. přenesená",J492,0)</f>
        <v>0</v>
      </c>
      <c r="BI492" s="713">
        <f>IF(N492="nulová",J492,0)</f>
        <v>0</v>
      </c>
      <c r="BJ492" s="157" t="s">
        <v>99</v>
      </c>
      <c r="BK492" s="713">
        <f>ROUND(I492*H492,2)</f>
        <v>0</v>
      </c>
      <c r="BL492" s="157" t="s">
        <v>103</v>
      </c>
      <c r="BM492" s="668" t="s">
        <v>1142</v>
      </c>
    </row>
    <row r="493" spans="2:65" s="715" customFormat="1" ht="11.4" x14ac:dyDescent="0.25">
      <c r="B493" s="714"/>
      <c r="D493" s="716" t="s">
        <v>868</v>
      </c>
      <c r="E493" s="717" t="s">
        <v>725</v>
      </c>
      <c r="F493" s="718" t="s">
        <v>881</v>
      </c>
      <c r="H493" s="717" t="s">
        <v>725</v>
      </c>
      <c r="K493" s="719"/>
      <c r="L493" s="714"/>
      <c r="M493" s="720"/>
      <c r="T493" s="721"/>
      <c r="AT493" s="717" t="s">
        <v>868</v>
      </c>
      <c r="AU493" s="717" t="s">
        <v>101</v>
      </c>
      <c r="AV493" s="715" t="s">
        <v>99</v>
      </c>
      <c r="AW493" s="715" t="s">
        <v>870</v>
      </c>
      <c r="AX493" s="715" t="s">
        <v>301</v>
      </c>
      <c r="AY493" s="717" t="s">
        <v>863</v>
      </c>
    </row>
    <row r="494" spans="2:65" s="715" customFormat="1" ht="11.4" x14ac:dyDescent="0.25">
      <c r="B494" s="714"/>
      <c r="D494" s="716" t="s">
        <v>868</v>
      </c>
      <c r="E494" s="717" t="s">
        <v>725</v>
      </c>
      <c r="F494" s="718" t="s">
        <v>869</v>
      </c>
      <c r="H494" s="717" t="s">
        <v>725</v>
      </c>
      <c r="K494" s="719"/>
      <c r="L494" s="714"/>
      <c r="M494" s="720"/>
      <c r="T494" s="721"/>
      <c r="AT494" s="717" t="s">
        <v>868</v>
      </c>
      <c r="AU494" s="717" t="s">
        <v>101</v>
      </c>
      <c r="AV494" s="715" t="s">
        <v>99</v>
      </c>
      <c r="AW494" s="715" t="s">
        <v>870</v>
      </c>
      <c r="AX494" s="715" t="s">
        <v>301</v>
      </c>
      <c r="AY494" s="717" t="s">
        <v>863</v>
      </c>
    </row>
    <row r="495" spans="2:65" s="715" customFormat="1" ht="11.4" x14ac:dyDescent="0.25">
      <c r="B495" s="714"/>
      <c r="D495" s="716" t="s">
        <v>868</v>
      </c>
      <c r="E495" s="717" t="s">
        <v>725</v>
      </c>
      <c r="F495" s="718" t="s">
        <v>887</v>
      </c>
      <c r="H495" s="717" t="s">
        <v>725</v>
      </c>
      <c r="K495" s="719"/>
      <c r="L495" s="714"/>
      <c r="M495" s="720"/>
      <c r="T495" s="721"/>
      <c r="AT495" s="717" t="s">
        <v>868</v>
      </c>
      <c r="AU495" s="717" t="s">
        <v>101</v>
      </c>
      <c r="AV495" s="715" t="s">
        <v>99</v>
      </c>
      <c r="AW495" s="715" t="s">
        <v>870</v>
      </c>
      <c r="AX495" s="715" t="s">
        <v>301</v>
      </c>
      <c r="AY495" s="717" t="s">
        <v>863</v>
      </c>
    </row>
    <row r="496" spans="2:65" s="715" customFormat="1" ht="11.4" x14ac:dyDescent="0.25">
      <c r="B496" s="714"/>
      <c r="D496" s="716" t="s">
        <v>868</v>
      </c>
      <c r="E496" s="717" t="s">
        <v>725</v>
      </c>
      <c r="F496" s="718" t="s">
        <v>888</v>
      </c>
      <c r="H496" s="717" t="s">
        <v>725</v>
      </c>
      <c r="K496" s="719"/>
      <c r="L496" s="714"/>
      <c r="M496" s="720"/>
      <c r="T496" s="721"/>
      <c r="AT496" s="717" t="s">
        <v>868</v>
      </c>
      <c r="AU496" s="717" t="s">
        <v>101</v>
      </c>
      <c r="AV496" s="715" t="s">
        <v>99</v>
      </c>
      <c r="AW496" s="715" t="s">
        <v>870</v>
      </c>
      <c r="AX496" s="715" t="s">
        <v>301</v>
      </c>
      <c r="AY496" s="717" t="s">
        <v>863</v>
      </c>
    </row>
    <row r="497" spans="2:65" s="723" customFormat="1" ht="11.4" x14ac:dyDescent="0.25">
      <c r="B497" s="722"/>
      <c r="D497" s="716" t="s">
        <v>868</v>
      </c>
      <c r="E497" s="724" t="s">
        <v>725</v>
      </c>
      <c r="F497" s="725" t="s">
        <v>733</v>
      </c>
      <c r="H497" s="726">
        <v>439.13</v>
      </c>
      <c r="K497" s="727"/>
      <c r="L497" s="722"/>
      <c r="M497" s="728"/>
      <c r="T497" s="729"/>
      <c r="AT497" s="724" t="s">
        <v>868</v>
      </c>
      <c r="AU497" s="724" t="s">
        <v>101</v>
      </c>
      <c r="AV497" s="723" t="s">
        <v>101</v>
      </c>
      <c r="AW497" s="723" t="s">
        <v>870</v>
      </c>
      <c r="AX497" s="723" t="s">
        <v>301</v>
      </c>
      <c r="AY497" s="724" t="s">
        <v>863</v>
      </c>
    </row>
    <row r="498" spans="2:65" s="731" customFormat="1" ht="11.4" x14ac:dyDescent="0.25">
      <c r="B498" s="730"/>
      <c r="D498" s="716" t="s">
        <v>868</v>
      </c>
      <c r="E498" s="732" t="s">
        <v>725</v>
      </c>
      <c r="F498" s="733" t="s">
        <v>873</v>
      </c>
      <c r="H498" s="734">
        <v>439.13</v>
      </c>
      <c r="K498" s="735"/>
      <c r="L498" s="730"/>
      <c r="M498" s="736"/>
      <c r="T498" s="737"/>
      <c r="AT498" s="732" t="s">
        <v>868</v>
      </c>
      <c r="AU498" s="732" t="s">
        <v>101</v>
      </c>
      <c r="AV498" s="731" t="s">
        <v>103</v>
      </c>
      <c r="AW498" s="731" t="s">
        <v>870</v>
      </c>
      <c r="AX498" s="731" t="s">
        <v>99</v>
      </c>
      <c r="AY498" s="732" t="s">
        <v>863</v>
      </c>
    </row>
    <row r="499" spans="2:65" s="163" customFormat="1" ht="14.4" customHeight="1" x14ac:dyDescent="0.25">
      <c r="B499" s="702"/>
      <c r="C499" s="738" t="s">
        <v>1143</v>
      </c>
      <c r="D499" s="738" t="s">
        <v>298</v>
      </c>
      <c r="E499" s="739" t="s">
        <v>1144</v>
      </c>
      <c r="F499" s="740" t="s">
        <v>1145</v>
      </c>
      <c r="G499" s="741" t="s">
        <v>15</v>
      </c>
      <c r="H499" s="742">
        <v>452.30399999999997</v>
      </c>
      <c r="I499" s="743"/>
      <c r="J499" s="743">
        <f>ROUND(I499*H499,2)</f>
        <v>0</v>
      </c>
      <c r="K499" s="740" t="s">
        <v>931</v>
      </c>
      <c r="L499" s="744"/>
      <c r="M499" s="745" t="s">
        <v>725</v>
      </c>
      <c r="N499" s="746" t="s">
        <v>813</v>
      </c>
      <c r="O499" s="711">
        <v>0</v>
      </c>
      <c r="P499" s="711">
        <f>O499*H499</f>
        <v>0</v>
      </c>
      <c r="Q499" s="711">
        <v>0.17599999999999999</v>
      </c>
      <c r="R499" s="711">
        <f>Q499*H499</f>
        <v>79.605503999999996</v>
      </c>
      <c r="S499" s="711">
        <v>0</v>
      </c>
      <c r="T499" s="712">
        <f>S499*H499</f>
        <v>0</v>
      </c>
      <c r="AR499" s="668" t="s">
        <v>111</v>
      </c>
      <c r="AT499" s="668" t="s">
        <v>298</v>
      </c>
      <c r="AU499" s="668" t="s">
        <v>101</v>
      </c>
      <c r="AY499" s="157" t="s">
        <v>863</v>
      </c>
      <c r="BE499" s="713">
        <f>IF(N499="základní",J499,0)</f>
        <v>0</v>
      </c>
      <c r="BF499" s="713">
        <f>IF(N499="snížená",J499,0)</f>
        <v>0</v>
      </c>
      <c r="BG499" s="713">
        <f>IF(N499="zákl. přenesená",J499,0)</f>
        <v>0</v>
      </c>
      <c r="BH499" s="713">
        <f>IF(N499="sníž. přenesená",J499,0)</f>
        <v>0</v>
      </c>
      <c r="BI499" s="713">
        <f>IF(N499="nulová",J499,0)</f>
        <v>0</v>
      </c>
      <c r="BJ499" s="157" t="s">
        <v>99</v>
      </c>
      <c r="BK499" s="713">
        <f>ROUND(I499*H499,2)</f>
        <v>0</v>
      </c>
      <c r="BL499" s="157" t="s">
        <v>103</v>
      </c>
      <c r="BM499" s="668" t="s">
        <v>1146</v>
      </c>
    </row>
    <row r="500" spans="2:65" s="723" customFormat="1" ht="11.4" x14ac:dyDescent="0.25">
      <c r="B500" s="722"/>
      <c r="D500" s="716" t="s">
        <v>868</v>
      </c>
      <c r="E500" s="724" t="s">
        <v>725</v>
      </c>
      <c r="F500" s="725" t="s">
        <v>733</v>
      </c>
      <c r="H500" s="726">
        <v>439.13</v>
      </c>
      <c r="K500" s="727"/>
      <c r="L500" s="722"/>
      <c r="M500" s="728"/>
      <c r="T500" s="729"/>
      <c r="AT500" s="724" t="s">
        <v>868</v>
      </c>
      <c r="AU500" s="724" t="s">
        <v>101</v>
      </c>
      <c r="AV500" s="723" t="s">
        <v>101</v>
      </c>
      <c r="AW500" s="723" t="s">
        <v>870</v>
      </c>
      <c r="AX500" s="723" t="s">
        <v>99</v>
      </c>
      <c r="AY500" s="724" t="s">
        <v>863</v>
      </c>
    </row>
    <row r="501" spans="2:65" s="723" customFormat="1" ht="11.4" x14ac:dyDescent="0.25">
      <c r="B501" s="722"/>
      <c r="D501" s="716" t="s">
        <v>868</v>
      </c>
      <c r="F501" s="725" t="s">
        <v>1147</v>
      </c>
      <c r="H501" s="726">
        <v>452.30399999999997</v>
      </c>
      <c r="K501" s="727"/>
      <c r="L501" s="722"/>
      <c r="M501" s="728"/>
      <c r="T501" s="729"/>
      <c r="AT501" s="724" t="s">
        <v>868</v>
      </c>
      <c r="AU501" s="724" t="s">
        <v>101</v>
      </c>
      <c r="AV501" s="723" t="s">
        <v>101</v>
      </c>
      <c r="AW501" s="723" t="s">
        <v>699</v>
      </c>
      <c r="AX501" s="723" t="s">
        <v>99</v>
      </c>
      <c r="AY501" s="724" t="s">
        <v>863</v>
      </c>
    </row>
    <row r="502" spans="2:65" s="163" customFormat="1" ht="48.6" customHeight="1" x14ac:dyDescent="0.25">
      <c r="B502" s="702"/>
      <c r="C502" s="703" t="s">
        <v>1148</v>
      </c>
      <c r="D502" s="703" t="s">
        <v>864</v>
      </c>
      <c r="E502" s="704" t="s">
        <v>1149</v>
      </c>
      <c r="F502" s="705" t="s">
        <v>1150</v>
      </c>
      <c r="G502" s="706" t="s">
        <v>15</v>
      </c>
      <c r="H502" s="707">
        <v>1489.78</v>
      </c>
      <c r="I502" s="708"/>
      <c r="J502" s="708">
        <f>ROUND(I502*H502,2)</f>
        <v>0</v>
      </c>
      <c r="K502" s="705" t="s">
        <v>2622</v>
      </c>
      <c r="L502" s="164"/>
      <c r="M502" s="709" t="s">
        <v>725</v>
      </c>
      <c r="N502" s="710" t="s">
        <v>813</v>
      </c>
      <c r="O502" s="711">
        <v>0.67200000000000004</v>
      </c>
      <c r="P502" s="711">
        <f>O502*H502</f>
        <v>1001.13216</v>
      </c>
      <c r="Q502" s="711">
        <v>9.0399999999999994E-2</v>
      </c>
      <c r="R502" s="711">
        <f>Q502*H502</f>
        <v>134.67611199999999</v>
      </c>
      <c r="S502" s="711">
        <v>0</v>
      </c>
      <c r="T502" s="712">
        <f>S502*H502</f>
        <v>0</v>
      </c>
      <c r="AR502" s="668" t="s">
        <v>103</v>
      </c>
      <c r="AT502" s="668" t="s">
        <v>864</v>
      </c>
      <c r="AU502" s="668" t="s">
        <v>101</v>
      </c>
      <c r="AY502" s="157" t="s">
        <v>863</v>
      </c>
      <c r="BE502" s="713">
        <f>IF(N502="základní",J502,0)</f>
        <v>0</v>
      </c>
      <c r="BF502" s="713">
        <f>IF(N502="snížená",J502,0)</f>
        <v>0</v>
      </c>
      <c r="BG502" s="713">
        <f>IF(N502="zákl. přenesená",J502,0)</f>
        <v>0</v>
      </c>
      <c r="BH502" s="713">
        <f>IF(N502="sníž. přenesená",J502,0)</f>
        <v>0</v>
      </c>
      <c r="BI502" s="713">
        <f>IF(N502="nulová",J502,0)</f>
        <v>0</v>
      </c>
      <c r="BJ502" s="157" t="s">
        <v>99</v>
      </c>
      <c r="BK502" s="713">
        <f>ROUND(I502*H502,2)</f>
        <v>0</v>
      </c>
      <c r="BL502" s="157" t="s">
        <v>103</v>
      </c>
      <c r="BM502" s="668" t="s">
        <v>1151</v>
      </c>
    </row>
    <row r="503" spans="2:65" s="715" customFormat="1" ht="11.4" x14ac:dyDescent="0.25">
      <c r="B503" s="714"/>
      <c r="D503" s="716" t="s">
        <v>868</v>
      </c>
      <c r="E503" s="717" t="s">
        <v>725</v>
      </c>
      <c r="F503" s="718" t="s">
        <v>881</v>
      </c>
      <c r="H503" s="717" t="s">
        <v>725</v>
      </c>
      <c r="K503" s="719"/>
      <c r="L503" s="714"/>
      <c r="M503" s="720"/>
      <c r="T503" s="721"/>
      <c r="AT503" s="717" t="s">
        <v>868</v>
      </c>
      <c r="AU503" s="717" t="s">
        <v>101</v>
      </c>
      <c r="AV503" s="715" t="s">
        <v>99</v>
      </c>
      <c r="AW503" s="715" t="s">
        <v>870</v>
      </c>
      <c r="AX503" s="715" t="s">
        <v>301</v>
      </c>
      <c r="AY503" s="717" t="s">
        <v>863</v>
      </c>
    </row>
    <row r="504" spans="2:65" s="715" customFormat="1" ht="11.4" x14ac:dyDescent="0.25">
      <c r="B504" s="714"/>
      <c r="D504" s="716" t="s">
        <v>868</v>
      </c>
      <c r="E504" s="717" t="s">
        <v>725</v>
      </c>
      <c r="F504" s="718" t="s">
        <v>869</v>
      </c>
      <c r="H504" s="717" t="s">
        <v>725</v>
      </c>
      <c r="K504" s="719"/>
      <c r="L504" s="714"/>
      <c r="M504" s="720"/>
      <c r="T504" s="721"/>
      <c r="AT504" s="717" t="s">
        <v>868</v>
      </c>
      <c r="AU504" s="717" t="s">
        <v>101</v>
      </c>
      <c r="AV504" s="715" t="s">
        <v>99</v>
      </c>
      <c r="AW504" s="715" t="s">
        <v>870</v>
      </c>
      <c r="AX504" s="715" t="s">
        <v>301</v>
      </c>
      <c r="AY504" s="717" t="s">
        <v>863</v>
      </c>
    </row>
    <row r="505" spans="2:65" s="715" customFormat="1" ht="11.4" x14ac:dyDescent="0.25">
      <c r="B505" s="714"/>
      <c r="D505" s="716" t="s">
        <v>868</v>
      </c>
      <c r="E505" s="717" t="s">
        <v>725</v>
      </c>
      <c r="F505" s="718" t="s">
        <v>887</v>
      </c>
      <c r="H505" s="717" t="s">
        <v>725</v>
      </c>
      <c r="K505" s="719"/>
      <c r="L505" s="714"/>
      <c r="M505" s="720"/>
      <c r="T505" s="721"/>
      <c r="AT505" s="717" t="s">
        <v>868</v>
      </c>
      <c r="AU505" s="717" t="s">
        <v>101</v>
      </c>
      <c r="AV505" s="715" t="s">
        <v>99</v>
      </c>
      <c r="AW505" s="715" t="s">
        <v>870</v>
      </c>
      <c r="AX505" s="715" t="s">
        <v>301</v>
      </c>
      <c r="AY505" s="717" t="s">
        <v>863</v>
      </c>
    </row>
    <row r="506" spans="2:65" s="715" customFormat="1" ht="11.4" x14ac:dyDescent="0.25">
      <c r="B506" s="714"/>
      <c r="D506" s="716" t="s">
        <v>868</v>
      </c>
      <c r="E506" s="717" t="s">
        <v>725</v>
      </c>
      <c r="F506" s="718" t="s">
        <v>888</v>
      </c>
      <c r="H506" s="717" t="s">
        <v>725</v>
      </c>
      <c r="K506" s="719"/>
      <c r="L506" s="714"/>
      <c r="M506" s="720"/>
      <c r="T506" s="721"/>
      <c r="AT506" s="717" t="s">
        <v>868</v>
      </c>
      <c r="AU506" s="717" t="s">
        <v>101</v>
      </c>
      <c r="AV506" s="715" t="s">
        <v>99</v>
      </c>
      <c r="AW506" s="715" t="s">
        <v>870</v>
      </c>
      <c r="AX506" s="715" t="s">
        <v>301</v>
      </c>
      <c r="AY506" s="717" t="s">
        <v>863</v>
      </c>
    </row>
    <row r="507" spans="2:65" s="723" customFormat="1" ht="11.4" x14ac:dyDescent="0.25">
      <c r="B507" s="722"/>
      <c r="D507" s="716" t="s">
        <v>868</v>
      </c>
      <c r="E507" s="724" t="s">
        <v>725</v>
      </c>
      <c r="F507" s="725" t="s">
        <v>714</v>
      </c>
      <c r="H507" s="726">
        <v>368.67</v>
      </c>
      <c r="K507" s="727"/>
      <c r="L507" s="722"/>
      <c r="M507" s="728"/>
      <c r="T507" s="729"/>
      <c r="AT507" s="724" t="s">
        <v>868</v>
      </c>
      <c r="AU507" s="724" t="s">
        <v>101</v>
      </c>
      <c r="AV507" s="723" t="s">
        <v>101</v>
      </c>
      <c r="AW507" s="723" t="s">
        <v>870</v>
      </c>
      <c r="AX507" s="723" t="s">
        <v>301</v>
      </c>
      <c r="AY507" s="724" t="s">
        <v>863</v>
      </c>
    </row>
    <row r="508" spans="2:65" s="723" customFormat="1" ht="11.4" x14ac:dyDescent="0.25">
      <c r="B508" s="722"/>
      <c r="D508" s="716" t="s">
        <v>868</v>
      </c>
      <c r="E508" s="724" t="s">
        <v>725</v>
      </c>
      <c r="F508" s="725" t="s">
        <v>727</v>
      </c>
      <c r="H508" s="726">
        <v>1088.2</v>
      </c>
      <c r="K508" s="727"/>
      <c r="L508" s="722"/>
      <c r="M508" s="728"/>
      <c r="T508" s="729"/>
      <c r="AT508" s="724" t="s">
        <v>868</v>
      </c>
      <c r="AU508" s="724" t="s">
        <v>101</v>
      </c>
      <c r="AV508" s="723" t="s">
        <v>101</v>
      </c>
      <c r="AW508" s="723" t="s">
        <v>870</v>
      </c>
      <c r="AX508" s="723" t="s">
        <v>301</v>
      </c>
      <c r="AY508" s="724" t="s">
        <v>863</v>
      </c>
    </row>
    <row r="509" spans="2:65" s="723" customFormat="1" ht="11.4" x14ac:dyDescent="0.25">
      <c r="B509" s="722"/>
      <c r="D509" s="716" t="s">
        <v>868</v>
      </c>
      <c r="E509" s="724" t="s">
        <v>725</v>
      </c>
      <c r="F509" s="725" t="s">
        <v>736</v>
      </c>
      <c r="H509" s="726">
        <v>22.67</v>
      </c>
      <c r="K509" s="727"/>
      <c r="L509" s="722"/>
      <c r="M509" s="728"/>
      <c r="T509" s="729"/>
      <c r="AT509" s="724" t="s">
        <v>868</v>
      </c>
      <c r="AU509" s="724" t="s">
        <v>101</v>
      </c>
      <c r="AV509" s="723" t="s">
        <v>101</v>
      </c>
      <c r="AW509" s="723" t="s">
        <v>870</v>
      </c>
      <c r="AX509" s="723" t="s">
        <v>301</v>
      </c>
      <c r="AY509" s="724" t="s">
        <v>863</v>
      </c>
    </row>
    <row r="510" spans="2:65" s="723" customFormat="1" ht="11.4" x14ac:dyDescent="0.25">
      <c r="B510" s="722"/>
      <c r="D510" s="716" t="s">
        <v>868</v>
      </c>
      <c r="E510" s="724" t="s">
        <v>725</v>
      </c>
      <c r="F510" s="725" t="s">
        <v>741</v>
      </c>
      <c r="H510" s="726">
        <v>10.24</v>
      </c>
      <c r="K510" s="727"/>
      <c r="L510" s="722"/>
      <c r="M510" s="728"/>
      <c r="T510" s="729"/>
      <c r="AT510" s="724" t="s">
        <v>868</v>
      </c>
      <c r="AU510" s="724" t="s">
        <v>101</v>
      </c>
      <c r="AV510" s="723" t="s">
        <v>101</v>
      </c>
      <c r="AW510" s="723" t="s">
        <v>870</v>
      </c>
      <c r="AX510" s="723" t="s">
        <v>301</v>
      </c>
      <c r="AY510" s="724" t="s">
        <v>863</v>
      </c>
    </row>
    <row r="511" spans="2:65" s="731" customFormat="1" ht="11.4" x14ac:dyDescent="0.25">
      <c r="B511" s="730"/>
      <c r="D511" s="716" t="s">
        <v>868</v>
      </c>
      <c r="E511" s="732" t="s">
        <v>725</v>
      </c>
      <c r="F511" s="733" t="s">
        <v>873</v>
      </c>
      <c r="H511" s="734">
        <v>1489.78</v>
      </c>
      <c r="K511" s="735"/>
      <c r="L511" s="730"/>
      <c r="M511" s="736"/>
      <c r="T511" s="737"/>
      <c r="AT511" s="732" t="s">
        <v>868</v>
      </c>
      <c r="AU511" s="732" t="s">
        <v>101</v>
      </c>
      <c r="AV511" s="731" t="s">
        <v>103</v>
      </c>
      <c r="AW511" s="731" t="s">
        <v>870</v>
      </c>
      <c r="AX511" s="731" t="s">
        <v>99</v>
      </c>
      <c r="AY511" s="732" t="s">
        <v>863</v>
      </c>
    </row>
    <row r="512" spans="2:65" s="163" customFormat="1" ht="14.4" customHeight="1" x14ac:dyDescent="0.25">
      <c r="B512" s="702"/>
      <c r="C512" s="738" t="s">
        <v>1152</v>
      </c>
      <c r="D512" s="738" t="s">
        <v>298</v>
      </c>
      <c r="E512" s="739" t="s">
        <v>1153</v>
      </c>
      <c r="F512" s="740" t="s">
        <v>1154</v>
      </c>
      <c r="G512" s="741" t="s">
        <v>15</v>
      </c>
      <c r="H512" s="742">
        <v>1523.9259999999999</v>
      </c>
      <c r="I512" s="743"/>
      <c r="J512" s="743">
        <f>ROUND(I512*H512,2)</f>
        <v>0</v>
      </c>
      <c r="K512" s="740" t="s">
        <v>931</v>
      </c>
      <c r="L512" s="744"/>
      <c r="M512" s="745" t="s">
        <v>725</v>
      </c>
      <c r="N512" s="746" t="s">
        <v>813</v>
      </c>
      <c r="O512" s="711">
        <v>0</v>
      </c>
      <c r="P512" s="711">
        <f>O512*H512</f>
        <v>0</v>
      </c>
      <c r="Q512" s="711">
        <v>0.26400000000000001</v>
      </c>
      <c r="R512" s="711">
        <f>Q512*H512</f>
        <v>402.316464</v>
      </c>
      <c r="S512" s="711">
        <v>0</v>
      </c>
      <c r="T512" s="712">
        <f>S512*H512</f>
        <v>0</v>
      </c>
      <c r="AR512" s="668" t="s">
        <v>111</v>
      </c>
      <c r="AT512" s="668" t="s">
        <v>298</v>
      </c>
      <c r="AU512" s="668" t="s">
        <v>101</v>
      </c>
      <c r="AY512" s="157" t="s">
        <v>863</v>
      </c>
      <c r="BE512" s="713">
        <f>IF(N512="základní",J512,0)</f>
        <v>0</v>
      </c>
      <c r="BF512" s="713">
        <f>IF(N512="snížená",J512,0)</f>
        <v>0</v>
      </c>
      <c r="BG512" s="713">
        <f>IF(N512="zákl. přenesená",J512,0)</f>
        <v>0</v>
      </c>
      <c r="BH512" s="713">
        <f>IF(N512="sníž. přenesená",J512,0)</f>
        <v>0</v>
      </c>
      <c r="BI512" s="713">
        <f>IF(N512="nulová",J512,0)</f>
        <v>0</v>
      </c>
      <c r="BJ512" s="157" t="s">
        <v>99</v>
      </c>
      <c r="BK512" s="713">
        <f>ROUND(I512*H512,2)</f>
        <v>0</v>
      </c>
      <c r="BL512" s="157" t="s">
        <v>103</v>
      </c>
      <c r="BM512" s="668" t="s">
        <v>1155</v>
      </c>
    </row>
    <row r="513" spans="2:65" s="723" customFormat="1" ht="11.4" x14ac:dyDescent="0.25">
      <c r="B513" s="722"/>
      <c r="D513" s="716" t="s">
        <v>868</v>
      </c>
      <c r="E513" s="724" t="s">
        <v>725</v>
      </c>
      <c r="F513" s="725" t="s">
        <v>714</v>
      </c>
      <c r="H513" s="726">
        <v>368.67</v>
      </c>
      <c r="K513" s="727"/>
      <c r="L513" s="722"/>
      <c r="M513" s="728"/>
      <c r="T513" s="729"/>
      <c r="AT513" s="724" t="s">
        <v>868</v>
      </c>
      <c r="AU513" s="724" t="s">
        <v>101</v>
      </c>
      <c r="AV513" s="723" t="s">
        <v>101</v>
      </c>
      <c r="AW513" s="723" t="s">
        <v>870</v>
      </c>
      <c r="AX513" s="723" t="s">
        <v>301</v>
      </c>
      <c r="AY513" s="724" t="s">
        <v>863</v>
      </c>
    </row>
    <row r="514" spans="2:65" s="723" customFormat="1" ht="11.4" x14ac:dyDescent="0.25">
      <c r="B514" s="722"/>
      <c r="D514" s="716" t="s">
        <v>868</v>
      </c>
      <c r="E514" s="724" t="s">
        <v>725</v>
      </c>
      <c r="F514" s="725" t="s">
        <v>727</v>
      </c>
      <c r="H514" s="726">
        <v>1088.2</v>
      </c>
      <c r="K514" s="727"/>
      <c r="L514" s="722"/>
      <c r="M514" s="728"/>
      <c r="T514" s="729"/>
      <c r="AT514" s="724" t="s">
        <v>868</v>
      </c>
      <c r="AU514" s="724" t="s">
        <v>101</v>
      </c>
      <c r="AV514" s="723" t="s">
        <v>101</v>
      </c>
      <c r="AW514" s="723" t="s">
        <v>870</v>
      </c>
      <c r="AX514" s="723" t="s">
        <v>301</v>
      </c>
      <c r="AY514" s="724" t="s">
        <v>863</v>
      </c>
    </row>
    <row r="515" spans="2:65" s="723" customFormat="1" ht="11.4" x14ac:dyDescent="0.25">
      <c r="B515" s="722"/>
      <c r="D515" s="716" t="s">
        <v>868</v>
      </c>
      <c r="E515" s="724" t="s">
        <v>725</v>
      </c>
      <c r="F515" s="725" t="s">
        <v>736</v>
      </c>
      <c r="H515" s="726">
        <v>22.67</v>
      </c>
      <c r="K515" s="727"/>
      <c r="L515" s="722"/>
      <c r="M515" s="728"/>
      <c r="T515" s="729"/>
      <c r="AT515" s="724" t="s">
        <v>868</v>
      </c>
      <c r="AU515" s="724" t="s">
        <v>101</v>
      </c>
      <c r="AV515" s="723" t="s">
        <v>101</v>
      </c>
      <c r="AW515" s="723" t="s">
        <v>870</v>
      </c>
      <c r="AX515" s="723" t="s">
        <v>301</v>
      </c>
      <c r="AY515" s="724" t="s">
        <v>863</v>
      </c>
    </row>
    <row r="516" spans="2:65" s="731" customFormat="1" ht="11.4" x14ac:dyDescent="0.25">
      <c r="B516" s="730"/>
      <c r="D516" s="716" t="s">
        <v>868</v>
      </c>
      <c r="E516" s="732" t="s">
        <v>725</v>
      </c>
      <c r="F516" s="733" t="s">
        <v>873</v>
      </c>
      <c r="H516" s="734">
        <v>1479.54</v>
      </c>
      <c r="K516" s="735"/>
      <c r="L516" s="730"/>
      <c r="M516" s="736"/>
      <c r="T516" s="737"/>
      <c r="AT516" s="732" t="s">
        <v>868</v>
      </c>
      <c r="AU516" s="732" t="s">
        <v>101</v>
      </c>
      <c r="AV516" s="731" t="s">
        <v>103</v>
      </c>
      <c r="AW516" s="731" t="s">
        <v>870</v>
      </c>
      <c r="AX516" s="731" t="s">
        <v>99</v>
      </c>
      <c r="AY516" s="732" t="s">
        <v>863</v>
      </c>
    </row>
    <row r="517" spans="2:65" s="723" customFormat="1" ht="11.4" x14ac:dyDescent="0.25">
      <c r="B517" s="722"/>
      <c r="D517" s="716" t="s">
        <v>868</v>
      </c>
      <c r="F517" s="725" t="s">
        <v>1156</v>
      </c>
      <c r="H517" s="726">
        <v>1523.9259999999999</v>
      </c>
      <c r="K517" s="727"/>
      <c r="L517" s="722"/>
      <c r="M517" s="728"/>
      <c r="T517" s="729"/>
      <c r="AT517" s="724" t="s">
        <v>868</v>
      </c>
      <c r="AU517" s="724" t="s">
        <v>101</v>
      </c>
      <c r="AV517" s="723" t="s">
        <v>101</v>
      </c>
      <c r="AW517" s="723" t="s">
        <v>699</v>
      </c>
      <c r="AX517" s="723" t="s">
        <v>99</v>
      </c>
      <c r="AY517" s="724" t="s">
        <v>863</v>
      </c>
    </row>
    <row r="518" spans="2:65" s="163" customFormat="1" ht="24.15" customHeight="1" x14ac:dyDescent="0.25">
      <c r="B518" s="702"/>
      <c r="C518" s="738" t="s">
        <v>1157</v>
      </c>
      <c r="D518" s="738" t="s">
        <v>298</v>
      </c>
      <c r="E518" s="739" t="s">
        <v>1158</v>
      </c>
      <c r="F518" s="740" t="s">
        <v>1159</v>
      </c>
      <c r="G518" s="741" t="s">
        <v>15</v>
      </c>
      <c r="H518" s="742">
        <v>10.547000000000001</v>
      </c>
      <c r="I518" s="743"/>
      <c r="J518" s="743">
        <f>ROUND(I518*H518,2)</f>
        <v>0</v>
      </c>
      <c r="K518" s="740" t="s">
        <v>931</v>
      </c>
      <c r="L518" s="744"/>
      <c r="M518" s="745" t="s">
        <v>725</v>
      </c>
      <c r="N518" s="746" t="s">
        <v>813</v>
      </c>
      <c r="O518" s="711">
        <v>0</v>
      </c>
      <c r="P518" s="711">
        <f>O518*H518</f>
        <v>0</v>
      </c>
      <c r="Q518" s="711">
        <v>0.26400000000000001</v>
      </c>
      <c r="R518" s="711">
        <f>Q518*H518</f>
        <v>2.7844080000000004</v>
      </c>
      <c r="S518" s="711">
        <v>0</v>
      </c>
      <c r="T518" s="712">
        <f>S518*H518</f>
        <v>0</v>
      </c>
      <c r="AR518" s="668" t="s">
        <v>111</v>
      </c>
      <c r="AT518" s="668" t="s">
        <v>298</v>
      </c>
      <c r="AU518" s="668" t="s">
        <v>101</v>
      </c>
      <c r="AY518" s="157" t="s">
        <v>863</v>
      </c>
      <c r="BE518" s="713">
        <f>IF(N518="základní",J518,0)</f>
        <v>0</v>
      </c>
      <c r="BF518" s="713">
        <f>IF(N518="snížená",J518,0)</f>
        <v>0</v>
      </c>
      <c r="BG518" s="713">
        <f>IF(N518="zákl. přenesená",J518,0)</f>
        <v>0</v>
      </c>
      <c r="BH518" s="713">
        <f>IF(N518="sníž. přenesená",J518,0)</f>
        <v>0</v>
      </c>
      <c r="BI518" s="713">
        <f>IF(N518="nulová",J518,0)</f>
        <v>0</v>
      </c>
      <c r="BJ518" s="157" t="s">
        <v>99</v>
      </c>
      <c r="BK518" s="713">
        <f>ROUND(I518*H518,2)</f>
        <v>0</v>
      </c>
      <c r="BL518" s="157" t="s">
        <v>103</v>
      </c>
      <c r="BM518" s="668" t="s">
        <v>1160</v>
      </c>
    </row>
    <row r="519" spans="2:65" s="723" customFormat="1" ht="11.4" x14ac:dyDescent="0.25">
      <c r="B519" s="722"/>
      <c r="D519" s="716" t="s">
        <v>868</v>
      </c>
      <c r="E519" s="724" t="s">
        <v>725</v>
      </c>
      <c r="F519" s="725" t="s">
        <v>741</v>
      </c>
      <c r="H519" s="726">
        <v>10.24</v>
      </c>
      <c r="K519" s="727"/>
      <c r="L519" s="722"/>
      <c r="M519" s="728"/>
      <c r="T519" s="729"/>
      <c r="AT519" s="724" t="s">
        <v>868</v>
      </c>
      <c r="AU519" s="724" t="s">
        <v>101</v>
      </c>
      <c r="AV519" s="723" t="s">
        <v>101</v>
      </c>
      <c r="AW519" s="723" t="s">
        <v>870</v>
      </c>
      <c r="AX519" s="723" t="s">
        <v>99</v>
      </c>
      <c r="AY519" s="724" t="s">
        <v>863</v>
      </c>
    </row>
    <row r="520" spans="2:65" s="723" customFormat="1" ht="11.4" x14ac:dyDescent="0.25">
      <c r="B520" s="722"/>
      <c r="D520" s="716" t="s">
        <v>868</v>
      </c>
      <c r="F520" s="725" t="s">
        <v>1161</v>
      </c>
      <c r="H520" s="726">
        <v>10.547000000000001</v>
      </c>
      <c r="K520" s="727"/>
      <c r="L520" s="722"/>
      <c r="M520" s="728"/>
      <c r="T520" s="729"/>
      <c r="AT520" s="724" t="s">
        <v>868</v>
      </c>
      <c r="AU520" s="724" t="s">
        <v>101</v>
      </c>
      <c r="AV520" s="723" t="s">
        <v>101</v>
      </c>
      <c r="AW520" s="723" t="s">
        <v>699</v>
      </c>
      <c r="AX520" s="723" t="s">
        <v>99</v>
      </c>
      <c r="AY520" s="724" t="s">
        <v>863</v>
      </c>
    </row>
    <row r="521" spans="2:65" s="163" customFormat="1" ht="24.15" customHeight="1" x14ac:dyDescent="0.25">
      <c r="B521" s="702"/>
      <c r="C521" s="703" t="s">
        <v>1162</v>
      </c>
      <c r="D521" s="703" t="s">
        <v>864</v>
      </c>
      <c r="E521" s="704" t="s">
        <v>1163</v>
      </c>
      <c r="F521" s="705" t="s">
        <v>1164</v>
      </c>
      <c r="G521" s="706" t="s">
        <v>140</v>
      </c>
      <c r="H521" s="707">
        <v>10</v>
      </c>
      <c r="I521" s="708"/>
      <c r="J521" s="708">
        <f>ROUND(I521*H521,2)</f>
        <v>0</v>
      </c>
      <c r="K521" s="705" t="s">
        <v>931</v>
      </c>
      <c r="L521" s="164"/>
      <c r="M521" s="709" t="s">
        <v>725</v>
      </c>
      <c r="N521" s="710" t="s">
        <v>813</v>
      </c>
      <c r="O521" s="711">
        <v>0.20599999999999999</v>
      </c>
      <c r="P521" s="711">
        <f>O521*H521</f>
        <v>2.06</v>
      </c>
      <c r="Q521" s="711">
        <v>0.41947000000000001</v>
      </c>
      <c r="R521" s="711">
        <f>Q521*H521</f>
        <v>4.1947000000000001</v>
      </c>
      <c r="S521" s="711">
        <v>0</v>
      </c>
      <c r="T521" s="712">
        <f>S521*H521</f>
        <v>0</v>
      </c>
      <c r="AR521" s="668" t="s">
        <v>103</v>
      </c>
      <c r="AT521" s="668" t="s">
        <v>864</v>
      </c>
      <c r="AU521" s="668" t="s">
        <v>101</v>
      </c>
      <c r="AY521" s="157" t="s">
        <v>863</v>
      </c>
      <c r="BE521" s="713">
        <f>IF(N521="základní",J521,0)</f>
        <v>0</v>
      </c>
      <c r="BF521" s="713">
        <f>IF(N521="snížená",J521,0)</f>
        <v>0</v>
      </c>
      <c r="BG521" s="713">
        <f>IF(N521="zákl. přenesená",J521,0)</f>
        <v>0</v>
      </c>
      <c r="BH521" s="713">
        <f>IF(N521="sníž. přenesená",J521,0)</f>
        <v>0</v>
      </c>
      <c r="BI521" s="713">
        <f>IF(N521="nulová",J521,0)</f>
        <v>0</v>
      </c>
      <c r="BJ521" s="157" t="s">
        <v>99</v>
      </c>
      <c r="BK521" s="713">
        <f>ROUND(I521*H521,2)</f>
        <v>0</v>
      </c>
      <c r="BL521" s="157" t="s">
        <v>103</v>
      </c>
      <c r="BM521" s="668" t="s">
        <v>1165</v>
      </c>
    </row>
    <row r="522" spans="2:65" s="715" customFormat="1" ht="11.4" x14ac:dyDescent="0.25">
      <c r="B522" s="714"/>
      <c r="D522" s="716" t="s">
        <v>868</v>
      </c>
      <c r="E522" s="717" t="s">
        <v>725</v>
      </c>
      <c r="F522" s="718" t="s">
        <v>886</v>
      </c>
      <c r="H522" s="717" t="s">
        <v>725</v>
      </c>
      <c r="K522" s="719"/>
      <c r="L522" s="714"/>
      <c r="M522" s="720"/>
      <c r="T522" s="721"/>
      <c r="AT522" s="717" t="s">
        <v>868</v>
      </c>
      <c r="AU522" s="717" t="s">
        <v>101</v>
      </c>
      <c r="AV522" s="715" t="s">
        <v>99</v>
      </c>
      <c r="AW522" s="715" t="s">
        <v>870</v>
      </c>
      <c r="AX522" s="715" t="s">
        <v>301</v>
      </c>
      <c r="AY522" s="717" t="s">
        <v>863</v>
      </c>
    </row>
    <row r="523" spans="2:65" s="715" customFormat="1" ht="11.4" x14ac:dyDescent="0.25">
      <c r="B523" s="714"/>
      <c r="D523" s="716" t="s">
        <v>868</v>
      </c>
      <c r="E523" s="717" t="s">
        <v>725</v>
      </c>
      <c r="F523" s="718" t="s">
        <v>887</v>
      </c>
      <c r="H523" s="717" t="s">
        <v>725</v>
      </c>
      <c r="K523" s="719"/>
      <c r="L523" s="714"/>
      <c r="M523" s="720"/>
      <c r="T523" s="721"/>
      <c r="AT523" s="717" t="s">
        <v>868</v>
      </c>
      <c r="AU523" s="717" t="s">
        <v>101</v>
      </c>
      <c r="AV523" s="715" t="s">
        <v>99</v>
      </c>
      <c r="AW523" s="715" t="s">
        <v>870</v>
      </c>
      <c r="AX523" s="715" t="s">
        <v>301</v>
      </c>
      <c r="AY523" s="717" t="s">
        <v>863</v>
      </c>
    </row>
    <row r="524" spans="2:65" s="723" customFormat="1" ht="11.4" x14ac:dyDescent="0.25">
      <c r="B524" s="722"/>
      <c r="D524" s="716" t="s">
        <v>868</v>
      </c>
      <c r="E524" s="724" t="s">
        <v>725</v>
      </c>
      <c r="F524" s="725" t="s">
        <v>1166</v>
      </c>
      <c r="H524" s="726">
        <v>10</v>
      </c>
      <c r="K524" s="727"/>
      <c r="L524" s="722"/>
      <c r="M524" s="728"/>
      <c r="T524" s="729"/>
      <c r="AT524" s="724" t="s">
        <v>868</v>
      </c>
      <c r="AU524" s="724" t="s">
        <v>101</v>
      </c>
      <c r="AV524" s="723" t="s">
        <v>101</v>
      </c>
      <c r="AW524" s="723" t="s">
        <v>870</v>
      </c>
      <c r="AX524" s="723" t="s">
        <v>99</v>
      </c>
      <c r="AY524" s="724" t="s">
        <v>863</v>
      </c>
    </row>
    <row r="525" spans="2:65" s="163" customFormat="1" ht="24.15" customHeight="1" x14ac:dyDescent="0.25">
      <c r="B525" s="702"/>
      <c r="C525" s="703" t="s">
        <v>1167</v>
      </c>
      <c r="D525" s="703" t="s">
        <v>864</v>
      </c>
      <c r="E525" s="704" t="s">
        <v>1168</v>
      </c>
      <c r="F525" s="705" t="s">
        <v>1169</v>
      </c>
      <c r="G525" s="706" t="s">
        <v>15</v>
      </c>
      <c r="H525" s="707">
        <v>160.44999999999999</v>
      </c>
      <c r="I525" s="708"/>
      <c r="J525" s="708">
        <f>ROUND(I525*H525,2)</f>
        <v>0</v>
      </c>
      <c r="K525" s="705" t="s">
        <v>2622</v>
      </c>
      <c r="L525" s="164"/>
      <c r="M525" s="709" t="s">
        <v>725</v>
      </c>
      <c r="N525" s="710" t="s">
        <v>813</v>
      </c>
      <c r="O525" s="711">
        <v>0.124</v>
      </c>
      <c r="P525" s="711">
        <f>O525*H525</f>
        <v>19.895799999999998</v>
      </c>
      <c r="Q525" s="711">
        <v>0.10353999999999999</v>
      </c>
      <c r="R525" s="711">
        <f>Q525*H525</f>
        <v>16.612992999999999</v>
      </c>
      <c r="S525" s="711">
        <v>0</v>
      </c>
      <c r="T525" s="712">
        <f>S525*H525</f>
        <v>0</v>
      </c>
      <c r="AR525" s="668" t="s">
        <v>103</v>
      </c>
      <c r="AT525" s="668" t="s">
        <v>864</v>
      </c>
      <c r="AU525" s="668" t="s">
        <v>101</v>
      </c>
      <c r="AY525" s="157" t="s">
        <v>863</v>
      </c>
      <c r="BE525" s="713">
        <f>IF(N525="základní",J525,0)</f>
        <v>0</v>
      </c>
      <c r="BF525" s="713">
        <f>IF(N525="snížená",J525,0)</f>
        <v>0</v>
      </c>
      <c r="BG525" s="713">
        <f>IF(N525="zákl. přenesená",J525,0)</f>
        <v>0</v>
      </c>
      <c r="BH525" s="713">
        <f>IF(N525="sníž. přenesená",J525,0)</f>
        <v>0</v>
      </c>
      <c r="BI525" s="713">
        <f>IF(N525="nulová",J525,0)</f>
        <v>0</v>
      </c>
      <c r="BJ525" s="157" t="s">
        <v>99</v>
      </c>
      <c r="BK525" s="713">
        <f>ROUND(I525*H525,2)</f>
        <v>0</v>
      </c>
      <c r="BL525" s="157" t="s">
        <v>103</v>
      </c>
      <c r="BM525" s="668" t="s">
        <v>1170</v>
      </c>
    </row>
    <row r="526" spans="2:65" s="715" customFormat="1" ht="11.4" x14ac:dyDescent="0.25">
      <c r="B526" s="714"/>
      <c r="D526" s="716" t="s">
        <v>868</v>
      </c>
      <c r="E526" s="717" t="s">
        <v>725</v>
      </c>
      <c r="F526" s="718" t="s">
        <v>881</v>
      </c>
      <c r="H526" s="717" t="s">
        <v>725</v>
      </c>
      <c r="K526" s="719"/>
      <c r="L526" s="714"/>
      <c r="M526" s="720"/>
      <c r="T526" s="721"/>
      <c r="AT526" s="717" t="s">
        <v>868</v>
      </c>
      <c r="AU526" s="717" t="s">
        <v>101</v>
      </c>
      <c r="AV526" s="715" t="s">
        <v>99</v>
      </c>
      <c r="AW526" s="715" t="s">
        <v>870</v>
      </c>
      <c r="AX526" s="715" t="s">
        <v>301</v>
      </c>
      <c r="AY526" s="717" t="s">
        <v>863</v>
      </c>
    </row>
    <row r="527" spans="2:65" s="715" customFormat="1" ht="11.4" x14ac:dyDescent="0.25">
      <c r="B527" s="714"/>
      <c r="D527" s="716" t="s">
        <v>868</v>
      </c>
      <c r="E527" s="717" t="s">
        <v>725</v>
      </c>
      <c r="F527" s="718" t="s">
        <v>869</v>
      </c>
      <c r="H527" s="717" t="s">
        <v>725</v>
      </c>
      <c r="K527" s="719"/>
      <c r="L527" s="714"/>
      <c r="M527" s="720"/>
      <c r="T527" s="721"/>
      <c r="AT527" s="717" t="s">
        <v>868</v>
      </c>
      <c r="AU527" s="717" t="s">
        <v>101</v>
      </c>
      <c r="AV527" s="715" t="s">
        <v>99</v>
      </c>
      <c r="AW527" s="715" t="s">
        <v>870</v>
      </c>
      <c r="AX527" s="715" t="s">
        <v>301</v>
      </c>
      <c r="AY527" s="717" t="s">
        <v>863</v>
      </c>
    </row>
    <row r="528" spans="2:65" s="715" customFormat="1" ht="11.4" x14ac:dyDescent="0.25">
      <c r="B528" s="714"/>
      <c r="D528" s="716" t="s">
        <v>868</v>
      </c>
      <c r="E528" s="717" t="s">
        <v>725</v>
      </c>
      <c r="F528" s="718" t="s">
        <v>887</v>
      </c>
      <c r="H528" s="717" t="s">
        <v>725</v>
      </c>
      <c r="K528" s="719"/>
      <c r="L528" s="714"/>
      <c r="M528" s="720"/>
      <c r="T528" s="721"/>
      <c r="AT528" s="717" t="s">
        <v>868</v>
      </c>
      <c r="AU528" s="717" t="s">
        <v>101</v>
      </c>
      <c r="AV528" s="715" t="s">
        <v>99</v>
      </c>
      <c r="AW528" s="715" t="s">
        <v>870</v>
      </c>
      <c r="AX528" s="715" t="s">
        <v>301</v>
      </c>
      <c r="AY528" s="717" t="s">
        <v>863</v>
      </c>
    </row>
    <row r="529" spans="2:65" s="715" customFormat="1" ht="11.4" x14ac:dyDescent="0.25">
      <c r="B529" s="714"/>
      <c r="D529" s="716" t="s">
        <v>868</v>
      </c>
      <c r="E529" s="717" t="s">
        <v>725</v>
      </c>
      <c r="F529" s="718" t="s">
        <v>888</v>
      </c>
      <c r="H529" s="717" t="s">
        <v>725</v>
      </c>
      <c r="K529" s="719"/>
      <c r="L529" s="714"/>
      <c r="M529" s="720"/>
      <c r="T529" s="721"/>
      <c r="AT529" s="717" t="s">
        <v>868</v>
      </c>
      <c r="AU529" s="717" t="s">
        <v>101</v>
      </c>
      <c r="AV529" s="715" t="s">
        <v>99</v>
      </c>
      <c r="AW529" s="715" t="s">
        <v>870</v>
      </c>
      <c r="AX529" s="715" t="s">
        <v>301</v>
      </c>
      <c r="AY529" s="717" t="s">
        <v>863</v>
      </c>
    </row>
    <row r="530" spans="2:65" s="723" customFormat="1" ht="11.4" x14ac:dyDescent="0.25">
      <c r="B530" s="722"/>
      <c r="D530" s="716" t="s">
        <v>868</v>
      </c>
      <c r="E530" s="724" t="s">
        <v>725</v>
      </c>
      <c r="F530" s="725" t="s">
        <v>767</v>
      </c>
      <c r="H530" s="726">
        <v>149.35</v>
      </c>
      <c r="K530" s="727"/>
      <c r="L530" s="722"/>
      <c r="M530" s="728"/>
      <c r="T530" s="729"/>
      <c r="AT530" s="724" t="s">
        <v>868</v>
      </c>
      <c r="AU530" s="724" t="s">
        <v>101</v>
      </c>
      <c r="AV530" s="723" t="s">
        <v>101</v>
      </c>
      <c r="AW530" s="723" t="s">
        <v>870</v>
      </c>
      <c r="AX530" s="723" t="s">
        <v>301</v>
      </c>
      <c r="AY530" s="724" t="s">
        <v>863</v>
      </c>
    </row>
    <row r="531" spans="2:65" s="723" customFormat="1" ht="11.4" x14ac:dyDescent="0.25">
      <c r="B531" s="722"/>
      <c r="D531" s="716" t="s">
        <v>868</v>
      </c>
      <c r="E531" s="724" t="s">
        <v>725</v>
      </c>
      <c r="F531" s="725" t="s">
        <v>770</v>
      </c>
      <c r="H531" s="726">
        <v>2.92</v>
      </c>
      <c r="K531" s="727"/>
      <c r="L531" s="722"/>
      <c r="M531" s="728"/>
      <c r="T531" s="729"/>
      <c r="AT531" s="724" t="s">
        <v>868</v>
      </c>
      <c r="AU531" s="724" t="s">
        <v>101</v>
      </c>
      <c r="AV531" s="723" t="s">
        <v>101</v>
      </c>
      <c r="AW531" s="723" t="s">
        <v>870</v>
      </c>
      <c r="AX531" s="723" t="s">
        <v>301</v>
      </c>
      <c r="AY531" s="724" t="s">
        <v>863</v>
      </c>
    </row>
    <row r="532" spans="2:65" s="723" customFormat="1" ht="11.4" x14ac:dyDescent="0.25">
      <c r="B532" s="722"/>
      <c r="D532" s="716" t="s">
        <v>868</v>
      </c>
      <c r="E532" s="724" t="s">
        <v>725</v>
      </c>
      <c r="F532" s="725" t="s">
        <v>782</v>
      </c>
      <c r="H532" s="726">
        <v>8.18</v>
      </c>
      <c r="K532" s="727"/>
      <c r="L532" s="722"/>
      <c r="M532" s="728"/>
      <c r="T532" s="729"/>
      <c r="AT532" s="724" t="s">
        <v>868</v>
      </c>
      <c r="AU532" s="724" t="s">
        <v>101</v>
      </c>
      <c r="AV532" s="723" t="s">
        <v>101</v>
      </c>
      <c r="AW532" s="723" t="s">
        <v>870</v>
      </c>
      <c r="AX532" s="723" t="s">
        <v>301</v>
      </c>
      <c r="AY532" s="724" t="s">
        <v>863</v>
      </c>
    </row>
    <row r="533" spans="2:65" s="731" customFormat="1" ht="11.4" x14ac:dyDescent="0.25">
      <c r="B533" s="730"/>
      <c r="D533" s="716" t="s">
        <v>868</v>
      </c>
      <c r="E533" s="732" t="s">
        <v>725</v>
      </c>
      <c r="F533" s="733" t="s">
        <v>873</v>
      </c>
      <c r="H533" s="734">
        <v>160.44999999999999</v>
      </c>
      <c r="K533" s="735"/>
      <c r="L533" s="730"/>
      <c r="M533" s="736"/>
      <c r="T533" s="737"/>
      <c r="AT533" s="732" t="s">
        <v>868</v>
      </c>
      <c r="AU533" s="732" t="s">
        <v>101</v>
      </c>
      <c r="AV533" s="731" t="s">
        <v>103</v>
      </c>
      <c r="AW533" s="731" t="s">
        <v>870</v>
      </c>
      <c r="AX533" s="731" t="s">
        <v>99</v>
      </c>
      <c r="AY533" s="732" t="s">
        <v>863</v>
      </c>
    </row>
    <row r="534" spans="2:65" s="690" customFormat="1" ht="22.95" customHeight="1" x14ac:dyDescent="0.25">
      <c r="B534" s="689"/>
      <c r="D534" s="691" t="s">
        <v>291</v>
      </c>
      <c r="E534" s="700" t="s">
        <v>107</v>
      </c>
      <c r="F534" s="700" t="s">
        <v>1171</v>
      </c>
      <c r="J534" s="701">
        <f>BK534</f>
        <v>0</v>
      </c>
      <c r="K534" s="694"/>
      <c r="L534" s="689"/>
      <c r="M534" s="695"/>
      <c r="P534" s="696">
        <f>SUM(P535:P546)</f>
        <v>34.534799999999997</v>
      </c>
      <c r="R534" s="696">
        <f>SUM(R535:R546)</f>
        <v>26.642729399999997</v>
      </c>
      <c r="T534" s="697">
        <f>SUM(T535:T546)</f>
        <v>0</v>
      </c>
      <c r="AR534" s="691" t="s">
        <v>99</v>
      </c>
      <c r="AT534" s="698" t="s">
        <v>291</v>
      </c>
      <c r="AU534" s="698" t="s">
        <v>99</v>
      </c>
      <c r="AY534" s="691" t="s">
        <v>863</v>
      </c>
      <c r="BK534" s="699">
        <f>SUM(BK535:BK546)</f>
        <v>0</v>
      </c>
    </row>
    <row r="535" spans="2:65" s="163" customFormat="1" ht="24.6" customHeight="1" x14ac:dyDescent="0.25">
      <c r="B535" s="702"/>
      <c r="C535" s="703" t="s">
        <v>1172</v>
      </c>
      <c r="D535" s="703" t="s">
        <v>864</v>
      </c>
      <c r="E535" s="704" t="s">
        <v>1173</v>
      </c>
      <c r="F535" s="705" t="s">
        <v>1174</v>
      </c>
      <c r="G535" s="706" t="s">
        <v>2</v>
      </c>
      <c r="H535" s="707">
        <v>10.86</v>
      </c>
      <c r="I535" s="708"/>
      <c r="J535" s="708">
        <f>ROUND(I535*H535,2)</f>
        <v>0</v>
      </c>
      <c r="K535" s="705" t="s">
        <v>2622</v>
      </c>
      <c r="L535" s="164"/>
      <c r="M535" s="709" t="s">
        <v>725</v>
      </c>
      <c r="N535" s="710" t="s">
        <v>813</v>
      </c>
      <c r="O535" s="711">
        <v>2.3170000000000002</v>
      </c>
      <c r="P535" s="711">
        <f>O535*H535</f>
        <v>25.16262</v>
      </c>
      <c r="Q535" s="711">
        <v>2.45329</v>
      </c>
      <c r="R535" s="711">
        <f>Q535*H535</f>
        <v>26.642729399999997</v>
      </c>
      <c r="S535" s="711">
        <v>0</v>
      </c>
      <c r="T535" s="712">
        <f>S535*H535</f>
        <v>0</v>
      </c>
      <c r="AR535" s="668" t="s">
        <v>103</v>
      </c>
      <c r="AT535" s="668" t="s">
        <v>864</v>
      </c>
      <c r="AU535" s="668" t="s">
        <v>101</v>
      </c>
      <c r="AY535" s="157" t="s">
        <v>863</v>
      </c>
      <c r="BE535" s="713">
        <f>IF(N535="základní",J535,0)</f>
        <v>0</v>
      </c>
      <c r="BF535" s="713">
        <f>IF(N535="snížená",J535,0)</f>
        <v>0</v>
      </c>
      <c r="BG535" s="713">
        <f>IF(N535="zákl. přenesená",J535,0)</f>
        <v>0</v>
      </c>
      <c r="BH535" s="713">
        <f>IF(N535="sníž. přenesená",J535,0)</f>
        <v>0</v>
      </c>
      <c r="BI535" s="713">
        <f>IF(N535="nulová",J535,0)</f>
        <v>0</v>
      </c>
      <c r="BJ535" s="157" t="s">
        <v>99</v>
      </c>
      <c r="BK535" s="713">
        <f>ROUND(I535*H535,2)</f>
        <v>0</v>
      </c>
      <c r="BL535" s="157" t="s">
        <v>103</v>
      </c>
      <c r="BM535" s="668" t="s">
        <v>1175</v>
      </c>
    </row>
    <row r="536" spans="2:65" s="715" customFormat="1" ht="11.4" x14ac:dyDescent="0.25">
      <c r="B536" s="714"/>
      <c r="D536" s="716" t="s">
        <v>868</v>
      </c>
      <c r="E536" s="717" t="s">
        <v>725</v>
      </c>
      <c r="F536" s="718" t="s">
        <v>881</v>
      </c>
      <c r="H536" s="717" t="s">
        <v>725</v>
      </c>
      <c r="K536" s="719"/>
      <c r="L536" s="714"/>
      <c r="M536" s="720"/>
      <c r="T536" s="721"/>
      <c r="AT536" s="717" t="s">
        <v>868</v>
      </c>
      <c r="AU536" s="717" t="s">
        <v>101</v>
      </c>
      <c r="AV536" s="715" t="s">
        <v>99</v>
      </c>
      <c r="AW536" s="715" t="s">
        <v>870</v>
      </c>
      <c r="AX536" s="715" t="s">
        <v>301</v>
      </c>
      <c r="AY536" s="717" t="s">
        <v>863</v>
      </c>
    </row>
    <row r="537" spans="2:65" s="715" customFormat="1" ht="11.4" x14ac:dyDescent="0.25">
      <c r="B537" s="714"/>
      <c r="D537" s="716" t="s">
        <v>868</v>
      </c>
      <c r="E537" s="717" t="s">
        <v>725</v>
      </c>
      <c r="F537" s="718" t="s">
        <v>869</v>
      </c>
      <c r="H537" s="717" t="s">
        <v>725</v>
      </c>
      <c r="K537" s="719"/>
      <c r="L537" s="714"/>
      <c r="M537" s="720"/>
      <c r="T537" s="721"/>
      <c r="AT537" s="717" t="s">
        <v>868</v>
      </c>
      <c r="AU537" s="717" t="s">
        <v>101</v>
      </c>
      <c r="AV537" s="715" t="s">
        <v>99</v>
      </c>
      <c r="AW537" s="715" t="s">
        <v>870</v>
      </c>
      <c r="AX537" s="715" t="s">
        <v>301</v>
      </c>
      <c r="AY537" s="717" t="s">
        <v>863</v>
      </c>
    </row>
    <row r="538" spans="2:65" s="715" customFormat="1" ht="11.4" x14ac:dyDescent="0.25">
      <c r="B538" s="714"/>
      <c r="D538" s="716" t="s">
        <v>868</v>
      </c>
      <c r="E538" s="717" t="s">
        <v>725</v>
      </c>
      <c r="F538" s="718" t="s">
        <v>887</v>
      </c>
      <c r="H538" s="717" t="s">
        <v>725</v>
      </c>
      <c r="K538" s="719"/>
      <c r="L538" s="714"/>
      <c r="M538" s="720"/>
      <c r="T538" s="721"/>
      <c r="AT538" s="717" t="s">
        <v>868</v>
      </c>
      <c r="AU538" s="717" t="s">
        <v>101</v>
      </c>
      <c r="AV538" s="715" t="s">
        <v>99</v>
      </c>
      <c r="AW538" s="715" t="s">
        <v>870</v>
      </c>
      <c r="AX538" s="715" t="s">
        <v>301</v>
      </c>
      <c r="AY538" s="717" t="s">
        <v>863</v>
      </c>
    </row>
    <row r="539" spans="2:65" s="715" customFormat="1" ht="11.4" x14ac:dyDescent="0.25">
      <c r="B539" s="714"/>
      <c r="D539" s="716" t="s">
        <v>868</v>
      </c>
      <c r="E539" s="717" t="s">
        <v>725</v>
      </c>
      <c r="F539" s="718" t="s">
        <v>888</v>
      </c>
      <c r="H539" s="717" t="s">
        <v>725</v>
      </c>
      <c r="K539" s="719"/>
      <c r="L539" s="714"/>
      <c r="M539" s="720"/>
      <c r="T539" s="721"/>
      <c r="AT539" s="717" t="s">
        <v>868</v>
      </c>
      <c r="AU539" s="717" t="s">
        <v>101</v>
      </c>
      <c r="AV539" s="715" t="s">
        <v>99</v>
      </c>
      <c r="AW539" s="715" t="s">
        <v>870</v>
      </c>
      <c r="AX539" s="715" t="s">
        <v>301</v>
      </c>
      <c r="AY539" s="717" t="s">
        <v>863</v>
      </c>
    </row>
    <row r="540" spans="2:65" s="723" customFormat="1" ht="11.4" x14ac:dyDescent="0.25">
      <c r="B540" s="722"/>
      <c r="D540" s="716" t="s">
        <v>868</v>
      </c>
      <c r="E540" s="724" t="s">
        <v>725</v>
      </c>
      <c r="F540" s="725" t="s">
        <v>1176</v>
      </c>
      <c r="H540" s="726">
        <v>10.86</v>
      </c>
      <c r="K540" s="727"/>
      <c r="L540" s="722"/>
      <c r="M540" s="728"/>
      <c r="T540" s="729"/>
      <c r="AT540" s="724" t="s">
        <v>868</v>
      </c>
      <c r="AU540" s="724" t="s">
        <v>101</v>
      </c>
      <c r="AV540" s="723" t="s">
        <v>101</v>
      </c>
      <c r="AW540" s="723" t="s">
        <v>870</v>
      </c>
      <c r="AX540" s="723" t="s">
        <v>99</v>
      </c>
      <c r="AY540" s="724" t="s">
        <v>863</v>
      </c>
    </row>
    <row r="541" spans="2:65" s="163" customFormat="1" ht="25.95" customHeight="1" x14ac:dyDescent="0.25">
      <c r="B541" s="702"/>
      <c r="C541" s="703" t="s">
        <v>1177</v>
      </c>
      <c r="D541" s="703" t="s">
        <v>864</v>
      </c>
      <c r="E541" s="704" t="s">
        <v>1178</v>
      </c>
      <c r="F541" s="705" t="s">
        <v>1179</v>
      </c>
      <c r="G541" s="706" t="s">
        <v>2</v>
      </c>
      <c r="H541" s="707">
        <v>10.86</v>
      </c>
      <c r="I541" s="708"/>
      <c r="J541" s="708">
        <f>ROUND(I541*H541,2)</f>
        <v>0</v>
      </c>
      <c r="K541" s="705" t="s">
        <v>2622</v>
      </c>
      <c r="L541" s="164"/>
      <c r="M541" s="709" t="s">
        <v>725</v>
      </c>
      <c r="N541" s="710" t="s">
        <v>813</v>
      </c>
      <c r="O541" s="711">
        <v>0.67500000000000004</v>
      </c>
      <c r="P541" s="711">
        <f>O541*H541</f>
        <v>7.3304999999999998</v>
      </c>
      <c r="Q541" s="711">
        <v>0</v>
      </c>
      <c r="R541" s="711">
        <f>Q541*H541</f>
        <v>0</v>
      </c>
      <c r="S541" s="711">
        <v>0</v>
      </c>
      <c r="T541" s="712">
        <f>S541*H541</f>
        <v>0</v>
      </c>
      <c r="AR541" s="668" t="s">
        <v>103</v>
      </c>
      <c r="AT541" s="668" t="s">
        <v>864</v>
      </c>
      <c r="AU541" s="668" t="s">
        <v>101</v>
      </c>
      <c r="AY541" s="157" t="s">
        <v>863</v>
      </c>
      <c r="BE541" s="713">
        <f>IF(N541="základní",J541,0)</f>
        <v>0</v>
      </c>
      <c r="BF541" s="713">
        <f>IF(N541="snížená",J541,0)</f>
        <v>0</v>
      </c>
      <c r="BG541" s="713">
        <f>IF(N541="zákl. přenesená",J541,0)</f>
        <v>0</v>
      </c>
      <c r="BH541" s="713">
        <f>IF(N541="sníž. přenesená",J541,0)</f>
        <v>0</v>
      </c>
      <c r="BI541" s="713">
        <f>IF(N541="nulová",J541,0)</f>
        <v>0</v>
      </c>
      <c r="BJ541" s="157" t="s">
        <v>99</v>
      </c>
      <c r="BK541" s="713">
        <f>ROUND(I541*H541,2)</f>
        <v>0</v>
      </c>
      <c r="BL541" s="157" t="s">
        <v>103</v>
      </c>
      <c r="BM541" s="668" t="s">
        <v>1180</v>
      </c>
    </row>
    <row r="542" spans="2:65" s="715" customFormat="1" ht="11.4" x14ac:dyDescent="0.25">
      <c r="B542" s="714"/>
      <c r="D542" s="716" t="s">
        <v>868</v>
      </c>
      <c r="E542" s="717" t="s">
        <v>725</v>
      </c>
      <c r="F542" s="718" t="s">
        <v>1181</v>
      </c>
      <c r="H542" s="717" t="s">
        <v>725</v>
      </c>
      <c r="K542" s="719"/>
      <c r="L542" s="714"/>
      <c r="M542" s="720"/>
      <c r="T542" s="721"/>
      <c r="AT542" s="717" t="s">
        <v>868</v>
      </c>
      <c r="AU542" s="717" t="s">
        <v>101</v>
      </c>
      <c r="AV542" s="715" t="s">
        <v>99</v>
      </c>
      <c r="AW542" s="715" t="s">
        <v>870</v>
      </c>
      <c r="AX542" s="715" t="s">
        <v>301</v>
      </c>
      <c r="AY542" s="717" t="s">
        <v>863</v>
      </c>
    </row>
    <row r="543" spans="2:65" s="723" customFormat="1" ht="11.4" x14ac:dyDescent="0.25">
      <c r="B543" s="722"/>
      <c r="D543" s="716" t="s">
        <v>868</v>
      </c>
      <c r="E543" s="724" t="s">
        <v>725</v>
      </c>
      <c r="F543" s="725" t="s">
        <v>1182</v>
      </c>
      <c r="H543" s="726">
        <v>10.86</v>
      </c>
      <c r="K543" s="727"/>
      <c r="L543" s="722"/>
      <c r="M543" s="728"/>
      <c r="T543" s="729"/>
      <c r="AT543" s="724" t="s">
        <v>868</v>
      </c>
      <c r="AU543" s="724" t="s">
        <v>101</v>
      </c>
      <c r="AV543" s="723" t="s">
        <v>101</v>
      </c>
      <c r="AW543" s="723" t="s">
        <v>870</v>
      </c>
      <c r="AX543" s="723" t="s">
        <v>99</v>
      </c>
      <c r="AY543" s="724" t="s">
        <v>863</v>
      </c>
    </row>
    <row r="544" spans="2:65" s="163" customFormat="1" ht="27" customHeight="1" x14ac:dyDescent="0.25">
      <c r="B544" s="702"/>
      <c r="C544" s="703" t="s">
        <v>1183</v>
      </c>
      <c r="D544" s="703" t="s">
        <v>864</v>
      </c>
      <c r="E544" s="704" t="s">
        <v>1184</v>
      </c>
      <c r="F544" s="705" t="s">
        <v>1185</v>
      </c>
      <c r="G544" s="706" t="s">
        <v>2</v>
      </c>
      <c r="H544" s="707">
        <v>10.86</v>
      </c>
      <c r="I544" s="708"/>
      <c r="J544" s="708">
        <f>ROUND(I544*H544,2)</f>
        <v>0</v>
      </c>
      <c r="K544" s="705" t="s">
        <v>2622</v>
      </c>
      <c r="L544" s="164"/>
      <c r="M544" s="709" t="s">
        <v>725</v>
      </c>
      <c r="N544" s="710" t="s">
        <v>813</v>
      </c>
      <c r="O544" s="711">
        <v>0.188</v>
      </c>
      <c r="P544" s="711">
        <f>O544*H544</f>
        <v>2.0416799999999999</v>
      </c>
      <c r="Q544" s="711">
        <v>0</v>
      </c>
      <c r="R544" s="711">
        <f>Q544*H544</f>
        <v>0</v>
      </c>
      <c r="S544" s="711">
        <v>0</v>
      </c>
      <c r="T544" s="712">
        <f>S544*H544</f>
        <v>0</v>
      </c>
      <c r="AR544" s="668" t="s">
        <v>103</v>
      </c>
      <c r="AT544" s="668" t="s">
        <v>864</v>
      </c>
      <c r="AU544" s="668" t="s">
        <v>101</v>
      </c>
      <c r="AY544" s="157" t="s">
        <v>863</v>
      </c>
      <c r="BE544" s="713">
        <f>IF(N544="základní",J544,0)</f>
        <v>0</v>
      </c>
      <c r="BF544" s="713">
        <f>IF(N544="snížená",J544,0)</f>
        <v>0</v>
      </c>
      <c r="BG544" s="713">
        <f>IF(N544="zákl. přenesená",J544,0)</f>
        <v>0</v>
      </c>
      <c r="BH544" s="713">
        <f>IF(N544="sníž. přenesená",J544,0)</f>
        <v>0</v>
      </c>
      <c r="BI544" s="713">
        <f>IF(N544="nulová",J544,0)</f>
        <v>0</v>
      </c>
      <c r="BJ544" s="157" t="s">
        <v>99</v>
      </c>
      <c r="BK544" s="713">
        <f>ROUND(I544*H544,2)</f>
        <v>0</v>
      </c>
      <c r="BL544" s="157" t="s">
        <v>103</v>
      </c>
      <c r="BM544" s="668" t="s">
        <v>1186</v>
      </c>
    </row>
    <row r="545" spans="2:65" s="715" customFormat="1" ht="11.4" x14ac:dyDescent="0.25">
      <c r="B545" s="714"/>
      <c r="D545" s="716" t="s">
        <v>868</v>
      </c>
      <c r="E545" s="717" t="s">
        <v>725</v>
      </c>
      <c r="F545" s="718" t="s">
        <v>1181</v>
      </c>
      <c r="H545" s="717" t="s">
        <v>725</v>
      </c>
      <c r="K545" s="719"/>
      <c r="L545" s="714"/>
      <c r="M545" s="720"/>
      <c r="T545" s="721"/>
      <c r="AT545" s="717" t="s">
        <v>868</v>
      </c>
      <c r="AU545" s="717" t="s">
        <v>101</v>
      </c>
      <c r="AV545" s="715" t="s">
        <v>99</v>
      </c>
      <c r="AW545" s="715" t="s">
        <v>870</v>
      </c>
      <c r="AX545" s="715" t="s">
        <v>301</v>
      </c>
      <c r="AY545" s="717" t="s">
        <v>863</v>
      </c>
    </row>
    <row r="546" spans="2:65" s="723" customFormat="1" ht="11.4" x14ac:dyDescent="0.25">
      <c r="B546" s="722"/>
      <c r="D546" s="716" t="s">
        <v>868</v>
      </c>
      <c r="E546" s="724" t="s">
        <v>725</v>
      </c>
      <c r="F546" s="725" t="s">
        <v>1182</v>
      </c>
      <c r="H546" s="726">
        <v>10.86</v>
      </c>
      <c r="K546" s="727"/>
      <c r="L546" s="722"/>
      <c r="M546" s="728"/>
      <c r="T546" s="729"/>
      <c r="AT546" s="724" t="s">
        <v>868</v>
      </c>
      <c r="AU546" s="724" t="s">
        <v>101</v>
      </c>
      <c r="AV546" s="723" t="s">
        <v>101</v>
      </c>
      <c r="AW546" s="723" t="s">
        <v>870</v>
      </c>
      <c r="AX546" s="723" t="s">
        <v>99</v>
      </c>
      <c r="AY546" s="724" t="s">
        <v>863</v>
      </c>
    </row>
    <row r="547" spans="2:65" s="690" customFormat="1" ht="22.95" customHeight="1" x14ac:dyDescent="0.25">
      <c r="B547" s="689"/>
      <c r="D547" s="691" t="s">
        <v>291</v>
      </c>
      <c r="E547" s="700" t="s">
        <v>111</v>
      </c>
      <c r="F547" s="700" t="s">
        <v>1187</v>
      </c>
      <c r="J547" s="701">
        <f>BK547</f>
        <v>0</v>
      </c>
      <c r="K547" s="694"/>
      <c r="L547" s="689"/>
      <c r="M547" s="695"/>
      <c r="P547" s="696">
        <f>SUM(P548:P571)</f>
        <v>20.524000000000001</v>
      </c>
      <c r="R547" s="696">
        <f>SUM(R548:R571)</f>
        <v>3.1894599999999995E-2</v>
      </c>
      <c r="T547" s="697">
        <f>SUM(T548:T571)</f>
        <v>0</v>
      </c>
      <c r="AR547" s="691" t="s">
        <v>99</v>
      </c>
      <c r="AT547" s="698" t="s">
        <v>291</v>
      </c>
      <c r="AU547" s="698" t="s">
        <v>99</v>
      </c>
      <c r="AY547" s="691" t="s">
        <v>863</v>
      </c>
      <c r="BK547" s="699">
        <f>SUM(BK548:BK571)</f>
        <v>0</v>
      </c>
    </row>
    <row r="548" spans="2:65" s="163" customFormat="1" ht="28.2" customHeight="1" x14ac:dyDescent="0.25">
      <c r="B548" s="702"/>
      <c r="C548" s="703" t="s">
        <v>1188</v>
      </c>
      <c r="D548" s="703" t="s">
        <v>864</v>
      </c>
      <c r="E548" s="704" t="s">
        <v>1189</v>
      </c>
      <c r="F548" s="705" t="s">
        <v>1190</v>
      </c>
      <c r="G548" s="706" t="s">
        <v>140</v>
      </c>
      <c r="H548" s="707">
        <v>6</v>
      </c>
      <c r="I548" s="708"/>
      <c r="J548" s="708">
        <f>ROUND(I548*H548,2)</f>
        <v>0</v>
      </c>
      <c r="K548" s="705" t="s">
        <v>2622</v>
      </c>
      <c r="L548" s="164"/>
      <c r="M548" s="709" t="s">
        <v>725</v>
      </c>
      <c r="N548" s="710" t="s">
        <v>813</v>
      </c>
      <c r="O548" s="711">
        <v>0.32400000000000001</v>
      </c>
      <c r="P548" s="711">
        <f>O548*H548</f>
        <v>1.944</v>
      </c>
      <c r="Q548" s="711">
        <v>1.0000000000000001E-5</v>
      </c>
      <c r="R548" s="711">
        <f>Q548*H548</f>
        <v>6.0000000000000008E-5</v>
      </c>
      <c r="S548" s="711">
        <v>0</v>
      </c>
      <c r="T548" s="712">
        <f>S548*H548</f>
        <v>0</v>
      </c>
      <c r="AR548" s="668" t="s">
        <v>103</v>
      </c>
      <c r="AT548" s="668" t="s">
        <v>864</v>
      </c>
      <c r="AU548" s="668" t="s">
        <v>101</v>
      </c>
      <c r="AY548" s="157" t="s">
        <v>863</v>
      </c>
      <c r="BE548" s="713">
        <f>IF(N548="základní",J548,0)</f>
        <v>0</v>
      </c>
      <c r="BF548" s="713">
        <f>IF(N548="snížená",J548,0)</f>
        <v>0</v>
      </c>
      <c r="BG548" s="713">
        <f>IF(N548="zákl. přenesená",J548,0)</f>
        <v>0</v>
      </c>
      <c r="BH548" s="713">
        <f>IF(N548="sníž. přenesená",J548,0)</f>
        <v>0</v>
      </c>
      <c r="BI548" s="713">
        <f>IF(N548="nulová",J548,0)</f>
        <v>0</v>
      </c>
      <c r="BJ548" s="157" t="s">
        <v>99</v>
      </c>
      <c r="BK548" s="713">
        <f>ROUND(I548*H548,2)</f>
        <v>0</v>
      </c>
      <c r="BL548" s="157" t="s">
        <v>103</v>
      </c>
      <c r="BM548" s="668" t="s">
        <v>1191</v>
      </c>
    </row>
    <row r="549" spans="2:65" s="715" customFormat="1" ht="11.4" x14ac:dyDescent="0.25">
      <c r="B549" s="714"/>
      <c r="D549" s="716" t="s">
        <v>868</v>
      </c>
      <c r="E549" s="717" t="s">
        <v>725</v>
      </c>
      <c r="F549" s="718" t="s">
        <v>886</v>
      </c>
      <c r="H549" s="717" t="s">
        <v>725</v>
      </c>
      <c r="K549" s="719"/>
      <c r="L549" s="714"/>
      <c r="M549" s="720"/>
      <c r="T549" s="721"/>
      <c r="AT549" s="717" t="s">
        <v>868</v>
      </c>
      <c r="AU549" s="717" t="s">
        <v>101</v>
      </c>
      <c r="AV549" s="715" t="s">
        <v>99</v>
      </c>
      <c r="AW549" s="715" t="s">
        <v>870</v>
      </c>
      <c r="AX549" s="715" t="s">
        <v>301</v>
      </c>
      <c r="AY549" s="717" t="s">
        <v>863</v>
      </c>
    </row>
    <row r="550" spans="2:65" s="723" customFormat="1" ht="11.4" x14ac:dyDescent="0.25">
      <c r="B550" s="722"/>
      <c r="D550" s="716" t="s">
        <v>868</v>
      </c>
      <c r="E550" s="724" t="s">
        <v>725</v>
      </c>
      <c r="F550" s="725" t="s">
        <v>1192</v>
      </c>
      <c r="H550" s="726">
        <v>6</v>
      </c>
      <c r="K550" s="727"/>
      <c r="L550" s="722"/>
      <c r="M550" s="728"/>
      <c r="T550" s="729"/>
      <c r="AT550" s="724" t="s">
        <v>868</v>
      </c>
      <c r="AU550" s="724" t="s">
        <v>101</v>
      </c>
      <c r="AV550" s="723" t="s">
        <v>101</v>
      </c>
      <c r="AW550" s="723" t="s">
        <v>870</v>
      </c>
      <c r="AX550" s="723" t="s">
        <v>301</v>
      </c>
      <c r="AY550" s="724" t="s">
        <v>863</v>
      </c>
    </row>
    <row r="551" spans="2:65" s="731" customFormat="1" ht="11.4" x14ac:dyDescent="0.25">
      <c r="B551" s="730"/>
      <c r="D551" s="716" t="s">
        <v>868</v>
      </c>
      <c r="E551" s="732" t="s">
        <v>725</v>
      </c>
      <c r="F551" s="733" t="s">
        <v>873</v>
      </c>
      <c r="H551" s="734">
        <v>6</v>
      </c>
      <c r="K551" s="735"/>
      <c r="L551" s="730"/>
      <c r="M551" s="736"/>
      <c r="T551" s="737"/>
      <c r="AT551" s="732" t="s">
        <v>868</v>
      </c>
      <c r="AU551" s="732" t="s">
        <v>101</v>
      </c>
      <c r="AV551" s="731" t="s">
        <v>103</v>
      </c>
      <c r="AW551" s="731" t="s">
        <v>870</v>
      </c>
      <c r="AX551" s="731" t="s">
        <v>99</v>
      </c>
      <c r="AY551" s="732" t="s">
        <v>863</v>
      </c>
    </row>
    <row r="552" spans="2:65" s="163" customFormat="1" ht="14.4" customHeight="1" x14ac:dyDescent="0.25">
      <c r="B552" s="702"/>
      <c r="C552" s="738" t="s">
        <v>1193</v>
      </c>
      <c r="D552" s="738" t="s">
        <v>298</v>
      </c>
      <c r="E552" s="739" t="s">
        <v>1194</v>
      </c>
      <c r="F552" s="740" t="s">
        <v>1195</v>
      </c>
      <c r="G552" s="741" t="s">
        <v>140</v>
      </c>
      <c r="H552" s="742">
        <v>6.09</v>
      </c>
      <c r="I552" s="743"/>
      <c r="J552" s="743">
        <f>ROUND(I552*H552,2)</f>
        <v>0</v>
      </c>
      <c r="K552" s="740" t="s">
        <v>2622</v>
      </c>
      <c r="L552" s="744"/>
      <c r="M552" s="745" t="s">
        <v>725</v>
      </c>
      <c r="N552" s="746" t="s">
        <v>813</v>
      </c>
      <c r="O552" s="711">
        <v>0</v>
      </c>
      <c r="P552" s="711">
        <f>O552*H552</f>
        <v>0</v>
      </c>
      <c r="Q552" s="711">
        <v>2.4199999999999998E-3</v>
      </c>
      <c r="R552" s="711">
        <f>Q552*H552</f>
        <v>1.4737799999999999E-2</v>
      </c>
      <c r="S552" s="711">
        <v>0</v>
      </c>
      <c r="T552" s="712">
        <f>S552*H552</f>
        <v>0</v>
      </c>
      <c r="AR552" s="668" t="s">
        <v>111</v>
      </c>
      <c r="AT552" s="668" t="s">
        <v>298</v>
      </c>
      <c r="AU552" s="668" t="s">
        <v>101</v>
      </c>
      <c r="AY552" s="157" t="s">
        <v>863</v>
      </c>
      <c r="BE552" s="713">
        <f>IF(N552="základní",J552,0)</f>
        <v>0</v>
      </c>
      <c r="BF552" s="713">
        <f>IF(N552="snížená",J552,0)</f>
        <v>0</v>
      </c>
      <c r="BG552" s="713">
        <f>IF(N552="zákl. přenesená",J552,0)</f>
        <v>0</v>
      </c>
      <c r="BH552" s="713">
        <f>IF(N552="sníž. přenesená",J552,0)</f>
        <v>0</v>
      </c>
      <c r="BI552" s="713">
        <f>IF(N552="nulová",J552,0)</f>
        <v>0</v>
      </c>
      <c r="BJ552" s="157" t="s">
        <v>99</v>
      </c>
      <c r="BK552" s="713">
        <f>ROUND(I552*H552,2)</f>
        <v>0</v>
      </c>
      <c r="BL552" s="157" t="s">
        <v>103</v>
      </c>
      <c r="BM552" s="668" t="s">
        <v>1196</v>
      </c>
    </row>
    <row r="553" spans="2:65" s="723" customFormat="1" ht="11.4" x14ac:dyDescent="0.25">
      <c r="B553" s="722"/>
      <c r="D553" s="716" t="s">
        <v>868</v>
      </c>
      <c r="F553" s="725" t="s">
        <v>1197</v>
      </c>
      <c r="H553" s="726">
        <v>6.09</v>
      </c>
      <c r="K553" s="727"/>
      <c r="L553" s="722"/>
      <c r="M553" s="728"/>
      <c r="T553" s="729"/>
      <c r="AT553" s="724" t="s">
        <v>868</v>
      </c>
      <c r="AU553" s="724" t="s">
        <v>101</v>
      </c>
      <c r="AV553" s="723" t="s">
        <v>101</v>
      </c>
      <c r="AW553" s="723" t="s">
        <v>699</v>
      </c>
      <c r="AX553" s="723" t="s">
        <v>99</v>
      </c>
      <c r="AY553" s="724" t="s">
        <v>863</v>
      </c>
    </row>
    <row r="554" spans="2:65" s="163" customFormat="1" ht="26.4" customHeight="1" x14ac:dyDescent="0.25">
      <c r="B554" s="702"/>
      <c r="C554" s="703" t="s">
        <v>1198</v>
      </c>
      <c r="D554" s="703" t="s">
        <v>864</v>
      </c>
      <c r="E554" s="704" t="s">
        <v>1199</v>
      </c>
      <c r="F554" s="705" t="s">
        <v>1200</v>
      </c>
      <c r="G554" s="706" t="s">
        <v>920</v>
      </c>
      <c r="H554" s="707">
        <v>20</v>
      </c>
      <c r="I554" s="708"/>
      <c r="J554" s="708">
        <f>ROUND(I554*H554,2)</f>
        <v>0</v>
      </c>
      <c r="K554" s="705" t="s">
        <v>2622</v>
      </c>
      <c r="L554" s="164"/>
      <c r="M554" s="709" t="s">
        <v>725</v>
      </c>
      <c r="N554" s="710" t="s">
        <v>813</v>
      </c>
      <c r="O554" s="711">
        <v>0.68300000000000005</v>
      </c>
      <c r="P554" s="711">
        <f>O554*H554</f>
        <v>13.66</v>
      </c>
      <c r="Q554" s="711">
        <v>0</v>
      </c>
      <c r="R554" s="711">
        <f>Q554*H554</f>
        <v>0</v>
      </c>
      <c r="S554" s="711">
        <v>0</v>
      </c>
      <c r="T554" s="712">
        <f>S554*H554</f>
        <v>0</v>
      </c>
      <c r="AR554" s="668" t="s">
        <v>103</v>
      </c>
      <c r="AT554" s="668" t="s">
        <v>864</v>
      </c>
      <c r="AU554" s="668" t="s">
        <v>101</v>
      </c>
      <c r="AY554" s="157" t="s">
        <v>863</v>
      </c>
      <c r="BE554" s="713">
        <f>IF(N554="základní",J554,0)</f>
        <v>0</v>
      </c>
      <c r="BF554" s="713">
        <f>IF(N554="snížená",J554,0)</f>
        <v>0</v>
      </c>
      <c r="BG554" s="713">
        <f>IF(N554="zákl. přenesená",J554,0)</f>
        <v>0</v>
      </c>
      <c r="BH554" s="713">
        <f>IF(N554="sníž. přenesená",J554,0)</f>
        <v>0</v>
      </c>
      <c r="BI554" s="713">
        <f>IF(N554="nulová",J554,0)</f>
        <v>0</v>
      </c>
      <c r="BJ554" s="157" t="s">
        <v>99</v>
      </c>
      <c r="BK554" s="713">
        <f>ROUND(I554*H554,2)</f>
        <v>0</v>
      </c>
      <c r="BL554" s="157" t="s">
        <v>103</v>
      </c>
      <c r="BM554" s="668" t="s">
        <v>1201</v>
      </c>
    </row>
    <row r="555" spans="2:65" s="715" customFormat="1" ht="11.4" x14ac:dyDescent="0.25">
      <c r="B555" s="714"/>
      <c r="D555" s="716" t="s">
        <v>868</v>
      </c>
      <c r="E555" s="717" t="s">
        <v>725</v>
      </c>
      <c r="F555" s="718" t="s">
        <v>886</v>
      </c>
      <c r="H555" s="717" t="s">
        <v>725</v>
      </c>
      <c r="K555" s="719"/>
      <c r="L555" s="714"/>
      <c r="M555" s="720"/>
      <c r="T555" s="721"/>
      <c r="AT555" s="717" t="s">
        <v>868</v>
      </c>
      <c r="AU555" s="717" t="s">
        <v>101</v>
      </c>
      <c r="AV555" s="715" t="s">
        <v>99</v>
      </c>
      <c r="AW555" s="715" t="s">
        <v>870</v>
      </c>
      <c r="AX555" s="715" t="s">
        <v>301</v>
      </c>
      <c r="AY555" s="717" t="s">
        <v>863</v>
      </c>
    </row>
    <row r="556" spans="2:65" s="723" customFormat="1" ht="11.4" x14ac:dyDescent="0.25">
      <c r="B556" s="722"/>
      <c r="D556" s="716" t="s">
        <v>868</v>
      </c>
      <c r="E556" s="724" t="s">
        <v>725</v>
      </c>
      <c r="F556" s="725" t="s">
        <v>1202</v>
      </c>
      <c r="H556" s="726">
        <v>4</v>
      </c>
      <c r="K556" s="727"/>
      <c r="L556" s="722"/>
      <c r="M556" s="728"/>
      <c r="T556" s="729"/>
      <c r="AT556" s="724" t="s">
        <v>868</v>
      </c>
      <c r="AU556" s="724" t="s">
        <v>101</v>
      </c>
      <c r="AV556" s="723" t="s">
        <v>101</v>
      </c>
      <c r="AW556" s="723" t="s">
        <v>870</v>
      </c>
      <c r="AX556" s="723" t="s">
        <v>301</v>
      </c>
      <c r="AY556" s="724" t="s">
        <v>863</v>
      </c>
    </row>
    <row r="557" spans="2:65" s="723" customFormat="1" ht="11.4" x14ac:dyDescent="0.25">
      <c r="B557" s="722"/>
      <c r="D557" s="716" t="s">
        <v>868</v>
      </c>
      <c r="E557" s="724" t="s">
        <v>725</v>
      </c>
      <c r="F557" s="725" t="s">
        <v>1203</v>
      </c>
      <c r="H557" s="726">
        <v>16</v>
      </c>
      <c r="K557" s="727"/>
      <c r="L557" s="722"/>
      <c r="M557" s="728"/>
      <c r="T557" s="729"/>
      <c r="AT557" s="724" t="s">
        <v>868</v>
      </c>
      <c r="AU557" s="724" t="s">
        <v>101</v>
      </c>
      <c r="AV557" s="723" t="s">
        <v>101</v>
      </c>
      <c r="AW557" s="723" t="s">
        <v>870</v>
      </c>
      <c r="AX557" s="723" t="s">
        <v>301</v>
      </c>
      <c r="AY557" s="724" t="s">
        <v>863</v>
      </c>
    </row>
    <row r="558" spans="2:65" s="731" customFormat="1" ht="11.4" x14ac:dyDescent="0.25">
      <c r="B558" s="730"/>
      <c r="D558" s="716" t="s">
        <v>868</v>
      </c>
      <c r="E558" s="732" t="s">
        <v>725</v>
      </c>
      <c r="F558" s="733" t="s">
        <v>873</v>
      </c>
      <c r="H558" s="734">
        <v>20</v>
      </c>
      <c r="K558" s="735"/>
      <c r="L558" s="730"/>
      <c r="M558" s="736"/>
      <c r="T558" s="737"/>
      <c r="AT558" s="732" t="s">
        <v>868</v>
      </c>
      <c r="AU558" s="732" t="s">
        <v>101</v>
      </c>
      <c r="AV558" s="731" t="s">
        <v>103</v>
      </c>
      <c r="AW558" s="731" t="s">
        <v>870</v>
      </c>
      <c r="AX558" s="731" t="s">
        <v>99</v>
      </c>
      <c r="AY558" s="732" t="s">
        <v>863</v>
      </c>
    </row>
    <row r="559" spans="2:65" s="163" customFormat="1" ht="14.4" customHeight="1" x14ac:dyDescent="0.25">
      <c r="B559" s="702"/>
      <c r="C559" s="738" t="s">
        <v>1204</v>
      </c>
      <c r="D559" s="738" t="s">
        <v>298</v>
      </c>
      <c r="E559" s="739" t="s">
        <v>1205</v>
      </c>
      <c r="F559" s="740" t="s">
        <v>1206</v>
      </c>
      <c r="G559" s="741" t="s">
        <v>920</v>
      </c>
      <c r="H559" s="742">
        <v>1</v>
      </c>
      <c r="I559" s="743"/>
      <c r="J559" s="743">
        <f>ROUND(I559*H559,2)</f>
        <v>0</v>
      </c>
      <c r="K559" s="740" t="s">
        <v>2622</v>
      </c>
      <c r="L559" s="744"/>
      <c r="M559" s="745" t="s">
        <v>725</v>
      </c>
      <c r="N559" s="746" t="s">
        <v>813</v>
      </c>
      <c r="O559" s="711">
        <v>0</v>
      </c>
      <c r="P559" s="711">
        <f>O559*H559</f>
        <v>0</v>
      </c>
      <c r="Q559" s="711">
        <v>6.9999999999999999E-4</v>
      </c>
      <c r="R559" s="711">
        <f>Q559*H559</f>
        <v>6.9999999999999999E-4</v>
      </c>
      <c r="S559" s="711">
        <v>0</v>
      </c>
      <c r="T559" s="712">
        <f>S559*H559</f>
        <v>0</v>
      </c>
      <c r="AR559" s="668" t="s">
        <v>111</v>
      </c>
      <c r="AT559" s="668" t="s">
        <v>298</v>
      </c>
      <c r="AU559" s="668" t="s">
        <v>101</v>
      </c>
      <c r="AY559" s="157" t="s">
        <v>863</v>
      </c>
      <c r="BE559" s="713">
        <f>IF(N559="základní",J559,0)</f>
        <v>0</v>
      </c>
      <c r="BF559" s="713">
        <f>IF(N559="snížená",J559,0)</f>
        <v>0</v>
      </c>
      <c r="BG559" s="713">
        <f>IF(N559="zákl. přenesená",J559,0)</f>
        <v>0</v>
      </c>
      <c r="BH559" s="713">
        <f>IF(N559="sníž. přenesená",J559,0)</f>
        <v>0</v>
      </c>
      <c r="BI559" s="713">
        <f>IF(N559="nulová",J559,0)</f>
        <v>0</v>
      </c>
      <c r="BJ559" s="157" t="s">
        <v>99</v>
      </c>
      <c r="BK559" s="713">
        <f>ROUND(I559*H559,2)</f>
        <v>0</v>
      </c>
      <c r="BL559" s="157" t="s">
        <v>103</v>
      </c>
      <c r="BM559" s="668" t="s">
        <v>1207</v>
      </c>
    </row>
    <row r="560" spans="2:65" s="163" customFormat="1" ht="14.4" customHeight="1" x14ac:dyDescent="0.25">
      <c r="B560" s="702"/>
      <c r="C560" s="738" t="s">
        <v>1208</v>
      </c>
      <c r="D560" s="738" t="s">
        <v>298</v>
      </c>
      <c r="E560" s="739" t="s">
        <v>1209</v>
      </c>
      <c r="F560" s="740" t="s">
        <v>1210</v>
      </c>
      <c r="G560" s="741" t="s">
        <v>920</v>
      </c>
      <c r="H560" s="742">
        <v>3</v>
      </c>
      <c r="I560" s="743"/>
      <c r="J560" s="743">
        <f>ROUND(I560*H560,2)</f>
        <v>0</v>
      </c>
      <c r="K560" s="740" t="s">
        <v>2622</v>
      </c>
      <c r="L560" s="744"/>
      <c r="M560" s="745" t="s">
        <v>725</v>
      </c>
      <c r="N560" s="746" t="s">
        <v>813</v>
      </c>
      <c r="O560" s="711">
        <v>0</v>
      </c>
      <c r="P560" s="711">
        <f>O560*H560</f>
        <v>0</v>
      </c>
      <c r="Q560" s="711">
        <v>8.9999999999999998E-4</v>
      </c>
      <c r="R560" s="711">
        <f>Q560*H560</f>
        <v>2.7000000000000001E-3</v>
      </c>
      <c r="S560" s="711">
        <v>0</v>
      </c>
      <c r="T560" s="712">
        <f>S560*H560</f>
        <v>0</v>
      </c>
      <c r="AR560" s="668" t="s">
        <v>111</v>
      </c>
      <c r="AT560" s="668" t="s">
        <v>298</v>
      </c>
      <c r="AU560" s="668" t="s">
        <v>101</v>
      </c>
      <c r="AY560" s="157" t="s">
        <v>863</v>
      </c>
      <c r="BE560" s="713">
        <f>IF(N560="základní",J560,0)</f>
        <v>0</v>
      </c>
      <c r="BF560" s="713">
        <f>IF(N560="snížená",J560,0)</f>
        <v>0</v>
      </c>
      <c r="BG560" s="713">
        <f>IF(N560="zákl. přenesená",J560,0)</f>
        <v>0</v>
      </c>
      <c r="BH560" s="713">
        <f>IF(N560="sníž. přenesená",J560,0)</f>
        <v>0</v>
      </c>
      <c r="BI560" s="713">
        <f>IF(N560="nulová",J560,0)</f>
        <v>0</v>
      </c>
      <c r="BJ560" s="157" t="s">
        <v>99</v>
      </c>
      <c r="BK560" s="713">
        <f>ROUND(I560*H560,2)</f>
        <v>0</v>
      </c>
      <c r="BL560" s="157" t="s">
        <v>103</v>
      </c>
      <c r="BM560" s="668" t="s">
        <v>1211</v>
      </c>
    </row>
    <row r="561" spans="2:65" s="163" customFormat="1" ht="14.4" customHeight="1" x14ac:dyDescent="0.25">
      <c r="B561" s="702"/>
      <c r="C561" s="738" t="s">
        <v>1212</v>
      </c>
      <c r="D561" s="738" t="s">
        <v>298</v>
      </c>
      <c r="E561" s="739" t="s">
        <v>1213</v>
      </c>
      <c r="F561" s="740" t="s">
        <v>1214</v>
      </c>
      <c r="G561" s="741" t="s">
        <v>920</v>
      </c>
      <c r="H561" s="742">
        <v>16</v>
      </c>
      <c r="I561" s="743"/>
      <c r="J561" s="743">
        <f>ROUND(I561*H561,2)</f>
        <v>0</v>
      </c>
      <c r="K561" s="740" t="s">
        <v>2622</v>
      </c>
      <c r="L561" s="744"/>
      <c r="M561" s="745" t="s">
        <v>725</v>
      </c>
      <c r="N561" s="746" t="s">
        <v>813</v>
      </c>
      <c r="O561" s="711">
        <v>0</v>
      </c>
      <c r="P561" s="711">
        <f>O561*H561</f>
        <v>0</v>
      </c>
      <c r="Q561" s="711">
        <v>4.0000000000000002E-4</v>
      </c>
      <c r="R561" s="711">
        <f>Q561*H561</f>
        <v>6.4000000000000003E-3</v>
      </c>
      <c r="S561" s="711">
        <v>0</v>
      </c>
      <c r="T561" s="712">
        <f>S561*H561</f>
        <v>0</v>
      </c>
      <c r="AR561" s="668" t="s">
        <v>111</v>
      </c>
      <c r="AT561" s="668" t="s">
        <v>298</v>
      </c>
      <c r="AU561" s="668" t="s">
        <v>101</v>
      </c>
      <c r="AY561" s="157" t="s">
        <v>863</v>
      </c>
      <c r="BE561" s="713">
        <f>IF(N561="základní",J561,0)</f>
        <v>0</v>
      </c>
      <c r="BF561" s="713">
        <f>IF(N561="snížená",J561,0)</f>
        <v>0</v>
      </c>
      <c r="BG561" s="713">
        <f>IF(N561="zákl. přenesená",J561,0)</f>
        <v>0</v>
      </c>
      <c r="BH561" s="713">
        <f>IF(N561="sníž. přenesená",J561,0)</f>
        <v>0</v>
      </c>
      <c r="BI561" s="713">
        <f>IF(N561="nulová",J561,0)</f>
        <v>0</v>
      </c>
      <c r="BJ561" s="157" t="s">
        <v>99</v>
      </c>
      <c r="BK561" s="713">
        <f>ROUND(I561*H561,2)</f>
        <v>0</v>
      </c>
      <c r="BL561" s="157" t="s">
        <v>103</v>
      </c>
      <c r="BM561" s="668" t="s">
        <v>1215</v>
      </c>
    </row>
    <row r="562" spans="2:65" s="163" customFormat="1" ht="25.95" customHeight="1" x14ac:dyDescent="0.25">
      <c r="B562" s="702"/>
      <c r="C562" s="703" t="s">
        <v>1216</v>
      </c>
      <c r="D562" s="703" t="s">
        <v>864</v>
      </c>
      <c r="E562" s="704" t="s">
        <v>1217</v>
      </c>
      <c r="F562" s="705" t="s">
        <v>1218</v>
      </c>
      <c r="G562" s="706" t="s">
        <v>920</v>
      </c>
      <c r="H562" s="707">
        <v>3</v>
      </c>
      <c r="I562" s="708"/>
      <c r="J562" s="708">
        <f>ROUND(I562*H562,2)</f>
        <v>0</v>
      </c>
      <c r="K562" s="705" t="s">
        <v>2622</v>
      </c>
      <c r="L562" s="164"/>
      <c r="M562" s="709" t="s">
        <v>725</v>
      </c>
      <c r="N562" s="710" t="s">
        <v>813</v>
      </c>
      <c r="O562" s="711">
        <v>1.1319999999999999</v>
      </c>
      <c r="P562" s="711">
        <f>O562*H562</f>
        <v>3.3959999999999999</v>
      </c>
      <c r="Q562" s="711">
        <v>1.0000000000000001E-5</v>
      </c>
      <c r="R562" s="711">
        <f>Q562*H562</f>
        <v>3.0000000000000004E-5</v>
      </c>
      <c r="S562" s="711">
        <v>0</v>
      </c>
      <c r="T562" s="712">
        <f>S562*H562</f>
        <v>0</v>
      </c>
      <c r="AR562" s="668" t="s">
        <v>103</v>
      </c>
      <c r="AT562" s="668" t="s">
        <v>864</v>
      </c>
      <c r="AU562" s="668" t="s">
        <v>101</v>
      </c>
      <c r="AY562" s="157" t="s">
        <v>863</v>
      </c>
      <c r="BE562" s="713">
        <f>IF(N562="základní",J562,0)</f>
        <v>0</v>
      </c>
      <c r="BF562" s="713">
        <f>IF(N562="snížená",J562,0)</f>
        <v>0</v>
      </c>
      <c r="BG562" s="713">
        <f>IF(N562="zákl. přenesená",J562,0)</f>
        <v>0</v>
      </c>
      <c r="BH562" s="713">
        <f>IF(N562="sníž. přenesená",J562,0)</f>
        <v>0</v>
      </c>
      <c r="BI562" s="713">
        <f>IF(N562="nulová",J562,0)</f>
        <v>0</v>
      </c>
      <c r="BJ562" s="157" t="s">
        <v>99</v>
      </c>
      <c r="BK562" s="713">
        <f>ROUND(I562*H562,2)</f>
        <v>0</v>
      </c>
      <c r="BL562" s="157" t="s">
        <v>103</v>
      </c>
      <c r="BM562" s="668" t="s">
        <v>1219</v>
      </c>
    </row>
    <row r="563" spans="2:65" s="715" customFormat="1" ht="11.4" x14ac:dyDescent="0.25">
      <c r="B563" s="714"/>
      <c r="D563" s="716" t="s">
        <v>868</v>
      </c>
      <c r="E563" s="717" t="s">
        <v>725</v>
      </c>
      <c r="F563" s="718" t="s">
        <v>886</v>
      </c>
      <c r="H563" s="717" t="s">
        <v>725</v>
      </c>
      <c r="K563" s="719"/>
      <c r="L563" s="714"/>
      <c r="M563" s="720"/>
      <c r="T563" s="721"/>
      <c r="AT563" s="717" t="s">
        <v>868</v>
      </c>
      <c r="AU563" s="717" t="s">
        <v>101</v>
      </c>
      <c r="AV563" s="715" t="s">
        <v>99</v>
      </c>
      <c r="AW563" s="715" t="s">
        <v>870</v>
      </c>
      <c r="AX563" s="715" t="s">
        <v>301</v>
      </c>
      <c r="AY563" s="717" t="s">
        <v>863</v>
      </c>
    </row>
    <row r="564" spans="2:65" s="723" customFormat="1" ht="11.4" x14ac:dyDescent="0.25">
      <c r="B564" s="722"/>
      <c r="D564" s="716" t="s">
        <v>868</v>
      </c>
      <c r="E564" s="724" t="s">
        <v>725</v>
      </c>
      <c r="F564" s="725" t="s">
        <v>1220</v>
      </c>
      <c r="H564" s="726">
        <v>3</v>
      </c>
      <c r="K564" s="727"/>
      <c r="L564" s="722"/>
      <c r="M564" s="728"/>
      <c r="T564" s="729"/>
      <c r="AT564" s="724" t="s">
        <v>868</v>
      </c>
      <c r="AU564" s="724" t="s">
        <v>101</v>
      </c>
      <c r="AV564" s="723" t="s">
        <v>101</v>
      </c>
      <c r="AW564" s="723" t="s">
        <v>870</v>
      </c>
      <c r="AX564" s="723" t="s">
        <v>99</v>
      </c>
      <c r="AY564" s="724" t="s">
        <v>863</v>
      </c>
    </row>
    <row r="565" spans="2:65" s="163" customFormat="1" ht="14.4" customHeight="1" x14ac:dyDescent="0.25">
      <c r="B565" s="702"/>
      <c r="C565" s="738" t="s">
        <v>1221</v>
      </c>
      <c r="D565" s="738" t="s">
        <v>298</v>
      </c>
      <c r="E565" s="739" t="s">
        <v>1222</v>
      </c>
      <c r="F565" s="740" t="s">
        <v>1223</v>
      </c>
      <c r="G565" s="741" t="s">
        <v>920</v>
      </c>
      <c r="H565" s="742">
        <v>3</v>
      </c>
      <c r="I565" s="743"/>
      <c r="J565" s="743">
        <f>ROUND(I565*H565,2)</f>
        <v>0</v>
      </c>
      <c r="K565" s="740" t="s">
        <v>2622</v>
      </c>
      <c r="L565" s="744"/>
      <c r="M565" s="745" t="s">
        <v>725</v>
      </c>
      <c r="N565" s="746" t="s">
        <v>813</v>
      </c>
      <c r="O565" s="711">
        <v>0</v>
      </c>
      <c r="P565" s="711">
        <f>O565*H565</f>
        <v>0</v>
      </c>
      <c r="Q565" s="711">
        <v>1.2999999999999999E-3</v>
      </c>
      <c r="R565" s="711">
        <f>Q565*H565</f>
        <v>3.8999999999999998E-3</v>
      </c>
      <c r="S565" s="711">
        <v>0</v>
      </c>
      <c r="T565" s="712">
        <f>S565*H565</f>
        <v>0</v>
      </c>
      <c r="AR565" s="668" t="s">
        <v>111</v>
      </c>
      <c r="AT565" s="668" t="s">
        <v>298</v>
      </c>
      <c r="AU565" s="668" t="s">
        <v>101</v>
      </c>
      <c r="AY565" s="157" t="s">
        <v>863</v>
      </c>
      <c r="BE565" s="713">
        <f>IF(N565="základní",J565,0)</f>
        <v>0</v>
      </c>
      <c r="BF565" s="713">
        <f>IF(N565="snížená",J565,0)</f>
        <v>0</v>
      </c>
      <c r="BG565" s="713">
        <f>IF(N565="zákl. přenesená",J565,0)</f>
        <v>0</v>
      </c>
      <c r="BH565" s="713">
        <f>IF(N565="sníž. přenesená",J565,0)</f>
        <v>0</v>
      </c>
      <c r="BI565" s="713">
        <f>IF(N565="nulová",J565,0)</f>
        <v>0</v>
      </c>
      <c r="BJ565" s="157" t="s">
        <v>99</v>
      </c>
      <c r="BK565" s="713">
        <f>ROUND(I565*H565,2)</f>
        <v>0</v>
      </c>
      <c r="BL565" s="157" t="s">
        <v>103</v>
      </c>
      <c r="BM565" s="668" t="s">
        <v>1224</v>
      </c>
    </row>
    <row r="566" spans="2:65" s="163" customFormat="1" ht="26.4" customHeight="1" x14ac:dyDescent="0.25">
      <c r="B566" s="702"/>
      <c r="C566" s="703" t="s">
        <v>1225</v>
      </c>
      <c r="D566" s="703" t="s">
        <v>864</v>
      </c>
      <c r="E566" s="704" t="s">
        <v>1226</v>
      </c>
      <c r="F566" s="705" t="s">
        <v>1227</v>
      </c>
      <c r="G566" s="706" t="s">
        <v>920</v>
      </c>
      <c r="H566" s="707">
        <v>2</v>
      </c>
      <c r="I566" s="708"/>
      <c r="J566" s="708">
        <f>ROUND(I566*H566,2)</f>
        <v>0</v>
      </c>
      <c r="K566" s="705" t="s">
        <v>2622</v>
      </c>
      <c r="L566" s="164"/>
      <c r="M566" s="709" t="s">
        <v>725</v>
      </c>
      <c r="N566" s="710" t="s">
        <v>813</v>
      </c>
      <c r="O566" s="711">
        <v>0.76200000000000001</v>
      </c>
      <c r="P566" s="711">
        <f>O566*H566</f>
        <v>1.524</v>
      </c>
      <c r="Q566" s="711">
        <v>1E-4</v>
      </c>
      <c r="R566" s="711">
        <f>Q566*H566</f>
        <v>2.0000000000000001E-4</v>
      </c>
      <c r="S566" s="711">
        <v>0</v>
      </c>
      <c r="T566" s="712">
        <f>S566*H566</f>
        <v>0</v>
      </c>
      <c r="AR566" s="668" t="s">
        <v>103</v>
      </c>
      <c r="AT566" s="668" t="s">
        <v>864</v>
      </c>
      <c r="AU566" s="668" t="s">
        <v>101</v>
      </c>
      <c r="AY566" s="157" t="s">
        <v>863</v>
      </c>
      <c r="BE566" s="713">
        <f>IF(N566="základní",J566,0)</f>
        <v>0</v>
      </c>
      <c r="BF566" s="713">
        <f>IF(N566="snížená",J566,0)</f>
        <v>0</v>
      </c>
      <c r="BG566" s="713">
        <f>IF(N566="zákl. přenesená",J566,0)</f>
        <v>0</v>
      </c>
      <c r="BH566" s="713">
        <f>IF(N566="sníž. přenesená",J566,0)</f>
        <v>0</v>
      </c>
      <c r="BI566" s="713">
        <f>IF(N566="nulová",J566,0)</f>
        <v>0</v>
      </c>
      <c r="BJ566" s="157" t="s">
        <v>99</v>
      </c>
      <c r="BK566" s="713">
        <f>ROUND(I566*H566,2)</f>
        <v>0</v>
      </c>
      <c r="BL566" s="157" t="s">
        <v>103</v>
      </c>
      <c r="BM566" s="668" t="s">
        <v>1228</v>
      </c>
    </row>
    <row r="567" spans="2:65" s="715" customFormat="1" ht="11.4" x14ac:dyDescent="0.25">
      <c r="B567" s="714"/>
      <c r="D567" s="716" t="s">
        <v>868</v>
      </c>
      <c r="E567" s="717" t="s">
        <v>725</v>
      </c>
      <c r="F567" s="718" t="s">
        <v>886</v>
      </c>
      <c r="H567" s="717" t="s">
        <v>725</v>
      </c>
      <c r="K567" s="719"/>
      <c r="L567" s="714"/>
      <c r="M567" s="720"/>
      <c r="T567" s="721"/>
      <c r="AT567" s="717" t="s">
        <v>868</v>
      </c>
      <c r="AU567" s="717" t="s">
        <v>101</v>
      </c>
      <c r="AV567" s="715" t="s">
        <v>99</v>
      </c>
      <c r="AW567" s="715" t="s">
        <v>870</v>
      </c>
      <c r="AX567" s="715" t="s">
        <v>301</v>
      </c>
      <c r="AY567" s="717" t="s">
        <v>863</v>
      </c>
    </row>
    <row r="568" spans="2:65" s="723" customFormat="1" ht="11.4" x14ac:dyDescent="0.25">
      <c r="B568" s="722"/>
      <c r="D568" s="716" t="s">
        <v>868</v>
      </c>
      <c r="E568" s="724" t="s">
        <v>725</v>
      </c>
      <c r="F568" s="725" t="s">
        <v>1229</v>
      </c>
      <c r="H568" s="726">
        <v>2</v>
      </c>
      <c r="K568" s="727"/>
      <c r="L568" s="722"/>
      <c r="M568" s="728"/>
      <c r="T568" s="729"/>
      <c r="AT568" s="724" t="s">
        <v>868</v>
      </c>
      <c r="AU568" s="724" t="s">
        <v>101</v>
      </c>
      <c r="AV568" s="723" t="s">
        <v>101</v>
      </c>
      <c r="AW568" s="723" t="s">
        <v>870</v>
      </c>
      <c r="AX568" s="723" t="s">
        <v>301</v>
      </c>
      <c r="AY568" s="724" t="s">
        <v>863</v>
      </c>
    </row>
    <row r="569" spans="2:65" s="731" customFormat="1" ht="11.4" x14ac:dyDescent="0.25">
      <c r="B569" s="730"/>
      <c r="D569" s="716" t="s">
        <v>868</v>
      </c>
      <c r="E569" s="732" t="s">
        <v>725</v>
      </c>
      <c r="F569" s="733" t="s">
        <v>873</v>
      </c>
      <c r="H569" s="734">
        <v>2</v>
      </c>
      <c r="K569" s="735"/>
      <c r="L569" s="730"/>
      <c r="M569" s="736"/>
      <c r="T569" s="737"/>
      <c r="AT569" s="732" t="s">
        <v>868</v>
      </c>
      <c r="AU569" s="732" t="s">
        <v>101</v>
      </c>
      <c r="AV569" s="731" t="s">
        <v>103</v>
      </c>
      <c r="AW569" s="731" t="s">
        <v>870</v>
      </c>
      <c r="AX569" s="731" t="s">
        <v>99</v>
      </c>
      <c r="AY569" s="732" t="s">
        <v>863</v>
      </c>
    </row>
    <row r="570" spans="2:65" s="163" customFormat="1" ht="14.4" customHeight="1" x14ac:dyDescent="0.25">
      <c r="B570" s="702"/>
      <c r="C570" s="738" t="s">
        <v>1230</v>
      </c>
      <c r="D570" s="738" t="s">
        <v>298</v>
      </c>
      <c r="E570" s="739" t="s">
        <v>1231</v>
      </c>
      <c r="F570" s="740" t="s">
        <v>1232</v>
      </c>
      <c r="G570" s="741" t="s">
        <v>920</v>
      </c>
      <c r="H570" s="742">
        <v>2.0299999999999998</v>
      </c>
      <c r="I570" s="743"/>
      <c r="J570" s="743">
        <f>ROUND(I570*H570,2)</f>
        <v>0</v>
      </c>
      <c r="K570" s="740" t="s">
        <v>2622</v>
      </c>
      <c r="L570" s="744"/>
      <c r="M570" s="745" t="s">
        <v>725</v>
      </c>
      <c r="N570" s="746" t="s">
        <v>813</v>
      </c>
      <c r="O570" s="711">
        <v>0</v>
      </c>
      <c r="P570" s="711">
        <f>O570*H570</f>
        <v>0</v>
      </c>
      <c r="Q570" s="711">
        <v>1.56E-3</v>
      </c>
      <c r="R570" s="711">
        <f>Q570*H570</f>
        <v>3.1667999999999996E-3</v>
      </c>
      <c r="S570" s="711">
        <v>0</v>
      </c>
      <c r="T570" s="712">
        <f>S570*H570</f>
        <v>0</v>
      </c>
      <c r="AR570" s="668" t="s">
        <v>111</v>
      </c>
      <c r="AT570" s="668" t="s">
        <v>298</v>
      </c>
      <c r="AU570" s="668" t="s">
        <v>101</v>
      </c>
      <c r="AY570" s="157" t="s">
        <v>863</v>
      </c>
      <c r="BE570" s="713">
        <f>IF(N570="základní",J570,0)</f>
        <v>0</v>
      </c>
      <c r="BF570" s="713">
        <f>IF(N570="snížená",J570,0)</f>
        <v>0</v>
      </c>
      <c r="BG570" s="713">
        <f>IF(N570="zákl. přenesená",J570,0)</f>
        <v>0</v>
      </c>
      <c r="BH570" s="713">
        <f>IF(N570="sníž. přenesená",J570,0)</f>
        <v>0</v>
      </c>
      <c r="BI570" s="713">
        <f>IF(N570="nulová",J570,0)</f>
        <v>0</v>
      </c>
      <c r="BJ570" s="157" t="s">
        <v>99</v>
      </c>
      <c r="BK570" s="713">
        <f>ROUND(I570*H570,2)</f>
        <v>0</v>
      </c>
      <c r="BL570" s="157" t="s">
        <v>103</v>
      </c>
      <c r="BM570" s="668" t="s">
        <v>1233</v>
      </c>
    </row>
    <row r="571" spans="2:65" s="723" customFormat="1" ht="11.4" x14ac:dyDescent="0.25">
      <c r="B571" s="722"/>
      <c r="D571" s="716" t="s">
        <v>868</v>
      </c>
      <c r="F571" s="725" t="s">
        <v>1234</v>
      </c>
      <c r="H571" s="726">
        <v>2.0299999999999998</v>
      </c>
      <c r="K571" s="727"/>
      <c r="L571" s="722"/>
      <c r="M571" s="728"/>
      <c r="T571" s="729"/>
      <c r="AT571" s="724" t="s">
        <v>868</v>
      </c>
      <c r="AU571" s="724" t="s">
        <v>101</v>
      </c>
      <c r="AV571" s="723" t="s">
        <v>101</v>
      </c>
      <c r="AW571" s="723" t="s">
        <v>699</v>
      </c>
      <c r="AX571" s="723" t="s">
        <v>99</v>
      </c>
      <c r="AY571" s="724" t="s">
        <v>863</v>
      </c>
    </row>
    <row r="572" spans="2:65" s="690" customFormat="1" ht="22.95" customHeight="1" x14ac:dyDescent="0.25">
      <c r="B572" s="689"/>
      <c r="D572" s="691" t="s">
        <v>291</v>
      </c>
      <c r="E572" s="700" t="s">
        <v>112</v>
      </c>
      <c r="F572" s="700" t="s">
        <v>1235</v>
      </c>
      <c r="J572" s="701">
        <f>BK572</f>
        <v>0</v>
      </c>
      <c r="K572" s="694"/>
      <c r="L572" s="689"/>
      <c r="M572" s="695"/>
      <c r="P572" s="696">
        <f>SUM(P573:P870)</f>
        <v>758.02781400000026</v>
      </c>
      <c r="R572" s="696">
        <f>SUM(R573:R870)</f>
        <v>262.27740607000004</v>
      </c>
      <c r="T572" s="697">
        <f>SUM(T573:T870)</f>
        <v>50.987050000000004</v>
      </c>
      <c r="AR572" s="691" t="s">
        <v>99</v>
      </c>
      <c r="AT572" s="698" t="s">
        <v>291</v>
      </c>
      <c r="AU572" s="698" t="s">
        <v>99</v>
      </c>
      <c r="AY572" s="691" t="s">
        <v>863</v>
      </c>
      <c r="BK572" s="699">
        <f>SUM(BK573:BK870)</f>
        <v>0</v>
      </c>
    </row>
    <row r="573" spans="2:65" s="163" customFormat="1" ht="26.4" customHeight="1" x14ac:dyDescent="0.25">
      <c r="B573" s="702"/>
      <c r="C573" s="703" t="s">
        <v>1236</v>
      </c>
      <c r="D573" s="703" t="s">
        <v>864</v>
      </c>
      <c r="E573" s="704" t="s">
        <v>1237</v>
      </c>
      <c r="F573" s="705" t="s">
        <v>1238</v>
      </c>
      <c r="G573" s="706" t="s">
        <v>920</v>
      </c>
      <c r="H573" s="707">
        <v>23</v>
      </c>
      <c r="I573" s="708"/>
      <c r="J573" s="708">
        <f>ROUND(I573*H573,2)</f>
        <v>0</v>
      </c>
      <c r="K573" s="705" t="s">
        <v>2622</v>
      </c>
      <c r="L573" s="164"/>
      <c r="M573" s="709" t="s">
        <v>725</v>
      </c>
      <c r="N573" s="710" t="s">
        <v>813</v>
      </c>
      <c r="O573" s="711">
        <v>0.2</v>
      </c>
      <c r="P573" s="711">
        <f>O573*H573</f>
        <v>4.6000000000000005</v>
      </c>
      <c r="Q573" s="711">
        <v>6.9999999999999999E-4</v>
      </c>
      <c r="R573" s="711">
        <f>Q573*H573</f>
        <v>1.61E-2</v>
      </c>
      <c r="S573" s="711">
        <v>0</v>
      </c>
      <c r="T573" s="712">
        <f>S573*H573</f>
        <v>0</v>
      </c>
      <c r="AR573" s="668" t="s">
        <v>103</v>
      </c>
      <c r="AT573" s="668" t="s">
        <v>864</v>
      </c>
      <c r="AU573" s="668" t="s">
        <v>101</v>
      </c>
      <c r="AY573" s="157" t="s">
        <v>863</v>
      </c>
      <c r="BE573" s="713">
        <f>IF(N573="základní",J573,0)</f>
        <v>0</v>
      </c>
      <c r="BF573" s="713">
        <f>IF(N573="snížená",J573,0)</f>
        <v>0</v>
      </c>
      <c r="BG573" s="713">
        <f>IF(N573="zákl. přenesená",J573,0)</f>
        <v>0</v>
      </c>
      <c r="BH573" s="713">
        <f>IF(N573="sníž. přenesená",J573,0)</f>
        <v>0</v>
      </c>
      <c r="BI573" s="713">
        <f>IF(N573="nulová",J573,0)</f>
        <v>0</v>
      </c>
      <c r="BJ573" s="157" t="s">
        <v>99</v>
      </c>
      <c r="BK573" s="713">
        <f>ROUND(I573*H573,2)</f>
        <v>0</v>
      </c>
      <c r="BL573" s="157" t="s">
        <v>103</v>
      </c>
      <c r="BM573" s="668" t="s">
        <v>1239</v>
      </c>
    </row>
    <row r="574" spans="2:65" s="715" customFormat="1" ht="11.4" x14ac:dyDescent="0.25">
      <c r="B574" s="714"/>
      <c r="D574" s="716" t="s">
        <v>868</v>
      </c>
      <c r="E574" s="717" t="s">
        <v>725</v>
      </c>
      <c r="F574" s="718" t="s">
        <v>1240</v>
      </c>
      <c r="H574" s="717" t="s">
        <v>725</v>
      </c>
      <c r="K574" s="719"/>
      <c r="L574" s="714"/>
      <c r="M574" s="720"/>
      <c r="T574" s="721"/>
      <c r="AT574" s="717" t="s">
        <v>868</v>
      </c>
      <c r="AU574" s="717" t="s">
        <v>101</v>
      </c>
      <c r="AV574" s="715" t="s">
        <v>99</v>
      </c>
      <c r="AW574" s="715" t="s">
        <v>870</v>
      </c>
      <c r="AX574" s="715" t="s">
        <v>301</v>
      </c>
      <c r="AY574" s="717" t="s">
        <v>863</v>
      </c>
    </row>
    <row r="575" spans="2:65" s="715" customFormat="1" ht="11.4" x14ac:dyDescent="0.25">
      <c r="B575" s="714"/>
      <c r="D575" s="716" t="s">
        <v>868</v>
      </c>
      <c r="E575" s="717" t="s">
        <v>725</v>
      </c>
      <c r="F575" s="718" t="s">
        <v>1241</v>
      </c>
      <c r="H575" s="717" t="s">
        <v>725</v>
      </c>
      <c r="K575" s="719"/>
      <c r="L575" s="714"/>
      <c r="M575" s="720"/>
      <c r="T575" s="721"/>
      <c r="AT575" s="717" t="s">
        <v>868</v>
      </c>
      <c r="AU575" s="717" t="s">
        <v>101</v>
      </c>
      <c r="AV575" s="715" t="s">
        <v>99</v>
      </c>
      <c r="AW575" s="715" t="s">
        <v>870</v>
      </c>
      <c r="AX575" s="715" t="s">
        <v>301</v>
      </c>
      <c r="AY575" s="717" t="s">
        <v>863</v>
      </c>
    </row>
    <row r="576" spans="2:65" s="723" customFormat="1" ht="11.4" x14ac:dyDescent="0.25">
      <c r="B576" s="722"/>
      <c r="D576" s="716" t="s">
        <v>868</v>
      </c>
      <c r="E576" s="724" t="s">
        <v>725</v>
      </c>
      <c r="F576" s="725" t="s">
        <v>1242</v>
      </c>
      <c r="H576" s="726">
        <v>2</v>
      </c>
      <c r="K576" s="727"/>
      <c r="L576" s="722"/>
      <c r="M576" s="728"/>
      <c r="T576" s="729"/>
      <c r="AT576" s="724" t="s">
        <v>868</v>
      </c>
      <c r="AU576" s="724" t="s">
        <v>101</v>
      </c>
      <c r="AV576" s="723" t="s">
        <v>101</v>
      </c>
      <c r="AW576" s="723" t="s">
        <v>870</v>
      </c>
      <c r="AX576" s="723" t="s">
        <v>301</v>
      </c>
      <c r="AY576" s="724" t="s">
        <v>863</v>
      </c>
    </row>
    <row r="577" spans="2:51" s="723" customFormat="1" ht="11.4" x14ac:dyDescent="0.25">
      <c r="B577" s="722"/>
      <c r="D577" s="716" t="s">
        <v>868</v>
      </c>
      <c r="E577" s="724" t="s">
        <v>725</v>
      </c>
      <c r="F577" s="725" t="s">
        <v>1243</v>
      </c>
      <c r="H577" s="726">
        <v>2</v>
      </c>
      <c r="K577" s="727"/>
      <c r="L577" s="722"/>
      <c r="M577" s="728"/>
      <c r="T577" s="729"/>
      <c r="AT577" s="724" t="s">
        <v>868</v>
      </c>
      <c r="AU577" s="724" t="s">
        <v>101</v>
      </c>
      <c r="AV577" s="723" t="s">
        <v>101</v>
      </c>
      <c r="AW577" s="723" t="s">
        <v>870</v>
      </c>
      <c r="AX577" s="723" t="s">
        <v>301</v>
      </c>
      <c r="AY577" s="724" t="s">
        <v>863</v>
      </c>
    </row>
    <row r="578" spans="2:51" s="723" customFormat="1" ht="11.4" x14ac:dyDescent="0.25">
      <c r="B578" s="722"/>
      <c r="D578" s="716" t="s">
        <v>868</v>
      </c>
      <c r="E578" s="724" t="s">
        <v>725</v>
      </c>
      <c r="F578" s="725" t="s">
        <v>1244</v>
      </c>
      <c r="H578" s="726">
        <v>3</v>
      </c>
      <c r="K578" s="727"/>
      <c r="L578" s="722"/>
      <c r="M578" s="728"/>
      <c r="T578" s="729"/>
      <c r="AT578" s="724" t="s">
        <v>868</v>
      </c>
      <c r="AU578" s="724" t="s">
        <v>101</v>
      </c>
      <c r="AV578" s="723" t="s">
        <v>101</v>
      </c>
      <c r="AW578" s="723" t="s">
        <v>870</v>
      </c>
      <c r="AX578" s="723" t="s">
        <v>301</v>
      </c>
      <c r="AY578" s="724" t="s">
        <v>863</v>
      </c>
    </row>
    <row r="579" spans="2:51" s="723" customFormat="1" ht="11.4" x14ac:dyDescent="0.25">
      <c r="B579" s="722"/>
      <c r="D579" s="716" t="s">
        <v>868</v>
      </c>
      <c r="E579" s="724" t="s">
        <v>725</v>
      </c>
      <c r="F579" s="725" t="s">
        <v>1245</v>
      </c>
      <c r="H579" s="726">
        <v>3</v>
      </c>
      <c r="K579" s="727"/>
      <c r="L579" s="722"/>
      <c r="M579" s="728"/>
      <c r="T579" s="729"/>
      <c r="AT579" s="724" t="s">
        <v>868</v>
      </c>
      <c r="AU579" s="724" t="s">
        <v>101</v>
      </c>
      <c r="AV579" s="723" t="s">
        <v>101</v>
      </c>
      <c r="AW579" s="723" t="s">
        <v>870</v>
      </c>
      <c r="AX579" s="723" t="s">
        <v>301</v>
      </c>
      <c r="AY579" s="724" t="s">
        <v>863</v>
      </c>
    </row>
    <row r="580" spans="2:51" s="723" customFormat="1" ht="11.4" x14ac:dyDescent="0.25">
      <c r="B580" s="722"/>
      <c r="D580" s="716" t="s">
        <v>868</v>
      </c>
      <c r="E580" s="724" t="s">
        <v>725</v>
      </c>
      <c r="F580" s="725" t="s">
        <v>1246</v>
      </c>
      <c r="H580" s="726">
        <v>1</v>
      </c>
      <c r="K580" s="727"/>
      <c r="L580" s="722"/>
      <c r="M580" s="728"/>
      <c r="T580" s="729"/>
      <c r="AT580" s="724" t="s">
        <v>868</v>
      </c>
      <c r="AU580" s="724" t="s">
        <v>101</v>
      </c>
      <c r="AV580" s="723" t="s">
        <v>101</v>
      </c>
      <c r="AW580" s="723" t="s">
        <v>870</v>
      </c>
      <c r="AX580" s="723" t="s">
        <v>301</v>
      </c>
      <c r="AY580" s="724" t="s">
        <v>863</v>
      </c>
    </row>
    <row r="581" spans="2:51" s="723" customFormat="1" ht="11.4" x14ac:dyDescent="0.25">
      <c r="B581" s="722"/>
      <c r="D581" s="716" t="s">
        <v>868</v>
      </c>
      <c r="E581" s="724" t="s">
        <v>725</v>
      </c>
      <c r="F581" s="725" t="s">
        <v>1247</v>
      </c>
      <c r="H581" s="726">
        <v>1</v>
      </c>
      <c r="K581" s="727"/>
      <c r="L581" s="722"/>
      <c r="M581" s="728"/>
      <c r="T581" s="729"/>
      <c r="AT581" s="724" t="s">
        <v>868</v>
      </c>
      <c r="AU581" s="724" t="s">
        <v>101</v>
      </c>
      <c r="AV581" s="723" t="s">
        <v>101</v>
      </c>
      <c r="AW581" s="723" t="s">
        <v>870</v>
      </c>
      <c r="AX581" s="723" t="s">
        <v>301</v>
      </c>
      <c r="AY581" s="724" t="s">
        <v>863</v>
      </c>
    </row>
    <row r="582" spans="2:51" s="748" customFormat="1" ht="11.4" x14ac:dyDescent="0.25">
      <c r="B582" s="747"/>
      <c r="D582" s="716" t="s">
        <v>868</v>
      </c>
      <c r="E582" s="749" t="s">
        <v>725</v>
      </c>
      <c r="F582" s="750" t="s">
        <v>1248</v>
      </c>
      <c r="H582" s="751">
        <v>12</v>
      </c>
      <c r="K582" s="752"/>
      <c r="L582" s="747"/>
      <c r="M582" s="753"/>
      <c r="T582" s="754"/>
      <c r="AT582" s="749" t="s">
        <v>868</v>
      </c>
      <c r="AU582" s="749" t="s">
        <v>101</v>
      </c>
      <c r="AV582" s="748" t="s">
        <v>102</v>
      </c>
      <c r="AW582" s="748" t="s">
        <v>870</v>
      </c>
      <c r="AX582" s="748" t="s">
        <v>301</v>
      </c>
      <c r="AY582" s="749" t="s">
        <v>863</v>
      </c>
    </row>
    <row r="583" spans="2:51" s="723" customFormat="1" ht="11.4" x14ac:dyDescent="0.25">
      <c r="B583" s="722"/>
      <c r="D583" s="716" t="s">
        <v>868</v>
      </c>
      <c r="E583" s="724" t="s">
        <v>725</v>
      </c>
      <c r="F583" s="725" t="s">
        <v>1249</v>
      </c>
      <c r="H583" s="726">
        <v>1</v>
      </c>
      <c r="K583" s="727"/>
      <c r="L583" s="722"/>
      <c r="M583" s="728"/>
      <c r="T583" s="729"/>
      <c r="AT583" s="724" t="s">
        <v>868</v>
      </c>
      <c r="AU583" s="724" t="s">
        <v>101</v>
      </c>
      <c r="AV583" s="723" t="s">
        <v>101</v>
      </c>
      <c r="AW583" s="723" t="s">
        <v>870</v>
      </c>
      <c r="AX583" s="723" t="s">
        <v>301</v>
      </c>
      <c r="AY583" s="724" t="s">
        <v>863</v>
      </c>
    </row>
    <row r="584" spans="2:51" s="723" customFormat="1" ht="11.4" x14ac:dyDescent="0.25">
      <c r="B584" s="722"/>
      <c r="D584" s="716" t="s">
        <v>868</v>
      </c>
      <c r="E584" s="724" t="s">
        <v>725</v>
      </c>
      <c r="F584" s="725" t="s">
        <v>1250</v>
      </c>
      <c r="H584" s="726">
        <v>1</v>
      </c>
      <c r="K584" s="727"/>
      <c r="L584" s="722"/>
      <c r="M584" s="728"/>
      <c r="T584" s="729"/>
      <c r="AT584" s="724" t="s">
        <v>868</v>
      </c>
      <c r="AU584" s="724" t="s">
        <v>101</v>
      </c>
      <c r="AV584" s="723" t="s">
        <v>101</v>
      </c>
      <c r="AW584" s="723" t="s">
        <v>870</v>
      </c>
      <c r="AX584" s="723" t="s">
        <v>301</v>
      </c>
      <c r="AY584" s="724" t="s">
        <v>863</v>
      </c>
    </row>
    <row r="585" spans="2:51" s="723" customFormat="1" ht="11.4" x14ac:dyDescent="0.25">
      <c r="B585" s="722"/>
      <c r="D585" s="716" t="s">
        <v>868</v>
      </c>
      <c r="E585" s="724" t="s">
        <v>725</v>
      </c>
      <c r="F585" s="725" t="s">
        <v>1251</v>
      </c>
      <c r="H585" s="726">
        <v>2</v>
      </c>
      <c r="K585" s="727"/>
      <c r="L585" s="722"/>
      <c r="M585" s="728"/>
      <c r="T585" s="729"/>
      <c r="AT585" s="724" t="s">
        <v>868</v>
      </c>
      <c r="AU585" s="724" t="s">
        <v>101</v>
      </c>
      <c r="AV585" s="723" t="s">
        <v>101</v>
      </c>
      <c r="AW585" s="723" t="s">
        <v>870</v>
      </c>
      <c r="AX585" s="723" t="s">
        <v>301</v>
      </c>
      <c r="AY585" s="724" t="s">
        <v>863</v>
      </c>
    </row>
    <row r="586" spans="2:51" s="723" customFormat="1" ht="11.4" x14ac:dyDescent="0.25">
      <c r="B586" s="722"/>
      <c r="D586" s="716" t="s">
        <v>868</v>
      </c>
      <c r="E586" s="724" t="s">
        <v>725</v>
      </c>
      <c r="F586" s="725" t="s">
        <v>1252</v>
      </c>
      <c r="H586" s="726">
        <v>1</v>
      </c>
      <c r="K586" s="727"/>
      <c r="L586" s="722"/>
      <c r="M586" s="728"/>
      <c r="T586" s="729"/>
      <c r="AT586" s="724" t="s">
        <v>868</v>
      </c>
      <c r="AU586" s="724" t="s">
        <v>101</v>
      </c>
      <c r="AV586" s="723" t="s">
        <v>101</v>
      </c>
      <c r="AW586" s="723" t="s">
        <v>870</v>
      </c>
      <c r="AX586" s="723" t="s">
        <v>301</v>
      </c>
      <c r="AY586" s="724" t="s">
        <v>863</v>
      </c>
    </row>
    <row r="587" spans="2:51" s="723" customFormat="1" ht="11.4" x14ac:dyDescent="0.25">
      <c r="B587" s="722"/>
      <c r="D587" s="716" t="s">
        <v>868</v>
      </c>
      <c r="E587" s="724" t="s">
        <v>725</v>
      </c>
      <c r="F587" s="725" t="s">
        <v>1253</v>
      </c>
      <c r="H587" s="726">
        <v>3</v>
      </c>
      <c r="K587" s="727"/>
      <c r="L587" s="722"/>
      <c r="M587" s="728"/>
      <c r="T587" s="729"/>
      <c r="AT587" s="724" t="s">
        <v>868</v>
      </c>
      <c r="AU587" s="724" t="s">
        <v>101</v>
      </c>
      <c r="AV587" s="723" t="s">
        <v>101</v>
      </c>
      <c r="AW587" s="723" t="s">
        <v>870</v>
      </c>
      <c r="AX587" s="723" t="s">
        <v>301</v>
      </c>
      <c r="AY587" s="724" t="s">
        <v>863</v>
      </c>
    </row>
    <row r="588" spans="2:51" s="723" customFormat="1" ht="11.4" x14ac:dyDescent="0.25">
      <c r="B588" s="722"/>
      <c r="D588" s="716" t="s">
        <v>868</v>
      </c>
      <c r="E588" s="724" t="s">
        <v>725</v>
      </c>
      <c r="F588" s="725" t="s">
        <v>1254</v>
      </c>
      <c r="H588" s="726">
        <v>1</v>
      </c>
      <c r="K588" s="727"/>
      <c r="L588" s="722"/>
      <c r="M588" s="728"/>
      <c r="T588" s="729"/>
      <c r="AT588" s="724" t="s">
        <v>868</v>
      </c>
      <c r="AU588" s="724" t="s">
        <v>101</v>
      </c>
      <c r="AV588" s="723" t="s">
        <v>101</v>
      </c>
      <c r="AW588" s="723" t="s">
        <v>870</v>
      </c>
      <c r="AX588" s="723" t="s">
        <v>301</v>
      </c>
      <c r="AY588" s="724" t="s">
        <v>863</v>
      </c>
    </row>
    <row r="589" spans="2:51" s="723" customFormat="1" ht="11.4" x14ac:dyDescent="0.25">
      <c r="B589" s="722"/>
      <c r="D589" s="716" t="s">
        <v>868</v>
      </c>
      <c r="E589" s="724" t="s">
        <v>725</v>
      </c>
      <c r="F589" s="725" t="s">
        <v>1255</v>
      </c>
      <c r="H589" s="726">
        <v>1</v>
      </c>
      <c r="K589" s="727"/>
      <c r="L589" s="722"/>
      <c r="M589" s="728"/>
      <c r="T589" s="729"/>
      <c r="AT589" s="724" t="s">
        <v>868</v>
      </c>
      <c r="AU589" s="724" t="s">
        <v>101</v>
      </c>
      <c r="AV589" s="723" t="s">
        <v>101</v>
      </c>
      <c r="AW589" s="723" t="s">
        <v>870</v>
      </c>
      <c r="AX589" s="723" t="s">
        <v>301</v>
      </c>
      <c r="AY589" s="724" t="s">
        <v>863</v>
      </c>
    </row>
    <row r="590" spans="2:51" s="723" customFormat="1" ht="11.4" x14ac:dyDescent="0.25">
      <c r="B590" s="722"/>
      <c r="D590" s="716" t="s">
        <v>868</v>
      </c>
      <c r="E590" s="724" t="s">
        <v>725</v>
      </c>
      <c r="F590" s="725" t="s">
        <v>1256</v>
      </c>
      <c r="H590" s="726">
        <v>1</v>
      </c>
      <c r="K590" s="727"/>
      <c r="L590" s="722"/>
      <c r="M590" s="728"/>
      <c r="T590" s="729"/>
      <c r="AT590" s="724" t="s">
        <v>868</v>
      </c>
      <c r="AU590" s="724" t="s">
        <v>101</v>
      </c>
      <c r="AV590" s="723" t="s">
        <v>101</v>
      </c>
      <c r="AW590" s="723" t="s">
        <v>870</v>
      </c>
      <c r="AX590" s="723" t="s">
        <v>301</v>
      </c>
      <c r="AY590" s="724" t="s">
        <v>863</v>
      </c>
    </row>
    <row r="591" spans="2:51" s="748" customFormat="1" ht="11.4" x14ac:dyDescent="0.25">
      <c r="B591" s="747"/>
      <c r="D591" s="716" t="s">
        <v>868</v>
      </c>
      <c r="E591" s="749" t="s">
        <v>725</v>
      </c>
      <c r="F591" s="750" t="s">
        <v>1257</v>
      </c>
      <c r="H591" s="751">
        <v>11</v>
      </c>
      <c r="K591" s="752"/>
      <c r="L591" s="747"/>
      <c r="M591" s="753"/>
      <c r="T591" s="754"/>
      <c r="AT591" s="749" t="s">
        <v>868</v>
      </c>
      <c r="AU591" s="749" t="s">
        <v>101</v>
      </c>
      <c r="AV591" s="748" t="s">
        <v>102</v>
      </c>
      <c r="AW591" s="748" t="s">
        <v>870</v>
      </c>
      <c r="AX591" s="748" t="s">
        <v>301</v>
      </c>
      <c r="AY591" s="749" t="s">
        <v>863</v>
      </c>
    </row>
    <row r="592" spans="2:51" s="731" customFormat="1" ht="11.4" x14ac:dyDescent="0.25">
      <c r="B592" s="730"/>
      <c r="D592" s="716" t="s">
        <v>868</v>
      </c>
      <c r="E592" s="732" t="s">
        <v>725</v>
      </c>
      <c r="F592" s="733" t="s">
        <v>873</v>
      </c>
      <c r="H592" s="734">
        <v>23</v>
      </c>
      <c r="K592" s="735"/>
      <c r="L592" s="730"/>
      <c r="M592" s="736"/>
      <c r="T592" s="737"/>
      <c r="AT592" s="732" t="s">
        <v>868</v>
      </c>
      <c r="AU592" s="732" t="s">
        <v>101</v>
      </c>
      <c r="AV592" s="731" t="s">
        <v>103</v>
      </c>
      <c r="AW592" s="731" t="s">
        <v>870</v>
      </c>
      <c r="AX592" s="731" t="s">
        <v>99</v>
      </c>
      <c r="AY592" s="732" t="s">
        <v>863</v>
      </c>
    </row>
    <row r="593" spans="2:65" s="163" customFormat="1" ht="14.4" customHeight="1" x14ac:dyDescent="0.25">
      <c r="B593" s="702"/>
      <c r="C593" s="738" t="s">
        <v>1258</v>
      </c>
      <c r="D593" s="738" t="s">
        <v>298</v>
      </c>
      <c r="E593" s="739" t="s">
        <v>1259</v>
      </c>
      <c r="F593" s="740" t="s">
        <v>1260</v>
      </c>
      <c r="G593" s="741" t="s">
        <v>920</v>
      </c>
      <c r="H593" s="742">
        <v>2</v>
      </c>
      <c r="I593" s="743"/>
      <c r="J593" s="743">
        <f>ROUND(I593*H593,2)</f>
        <v>0</v>
      </c>
      <c r="K593" s="740" t="s">
        <v>2622</v>
      </c>
      <c r="L593" s="744"/>
      <c r="M593" s="745" t="s">
        <v>725</v>
      </c>
      <c r="N593" s="746" t="s">
        <v>813</v>
      </c>
      <c r="O593" s="711">
        <v>0</v>
      </c>
      <c r="P593" s="711">
        <f>O593*H593</f>
        <v>0</v>
      </c>
      <c r="Q593" s="711">
        <v>1.2999999999999999E-3</v>
      </c>
      <c r="R593" s="711">
        <f>Q593*H593</f>
        <v>2.5999999999999999E-3</v>
      </c>
      <c r="S593" s="711">
        <v>0</v>
      </c>
      <c r="T593" s="712">
        <f>S593*H593</f>
        <v>0</v>
      </c>
      <c r="AR593" s="668" t="s">
        <v>111</v>
      </c>
      <c r="AT593" s="668" t="s">
        <v>298</v>
      </c>
      <c r="AU593" s="668" t="s">
        <v>101</v>
      </c>
      <c r="AY593" s="157" t="s">
        <v>863</v>
      </c>
      <c r="BE593" s="713">
        <f>IF(N593="základní",J593,0)</f>
        <v>0</v>
      </c>
      <c r="BF593" s="713">
        <f>IF(N593="snížená",J593,0)</f>
        <v>0</v>
      </c>
      <c r="BG593" s="713">
        <f>IF(N593="zákl. přenesená",J593,0)</f>
        <v>0</v>
      </c>
      <c r="BH593" s="713">
        <f>IF(N593="sníž. přenesená",J593,0)</f>
        <v>0</v>
      </c>
      <c r="BI593" s="713">
        <f>IF(N593="nulová",J593,0)</f>
        <v>0</v>
      </c>
      <c r="BJ593" s="157" t="s">
        <v>99</v>
      </c>
      <c r="BK593" s="713">
        <f>ROUND(I593*H593,2)</f>
        <v>0</v>
      </c>
      <c r="BL593" s="157" t="s">
        <v>103</v>
      </c>
      <c r="BM593" s="668" t="s">
        <v>1261</v>
      </c>
    </row>
    <row r="594" spans="2:65" s="723" customFormat="1" ht="11.4" x14ac:dyDescent="0.25">
      <c r="B594" s="722"/>
      <c r="D594" s="716" t="s">
        <v>868</v>
      </c>
      <c r="E594" s="724" t="s">
        <v>725</v>
      </c>
      <c r="F594" s="725" t="s">
        <v>1242</v>
      </c>
      <c r="H594" s="726">
        <v>2</v>
      </c>
      <c r="K594" s="727"/>
      <c r="L594" s="722"/>
      <c r="M594" s="728"/>
      <c r="T594" s="729"/>
      <c r="AT594" s="724" t="s">
        <v>868</v>
      </c>
      <c r="AU594" s="724" t="s">
        <v>101</v>
      </c>
      <c r="AV594" s="723" t="s">
        <v>101</v>
      </c>
      <c r="AW594" s="723" t="s">
        <v>870</v>
      </c>
      <c r="AX594" s="723" t="s">
        <v>99</v>
      </c>
      <c r="AY594" s="724" t="s">
        <v>863</v>
      </c>
    </row>
    <row r="595" spans="2:65" s="163" customFormat="1" ht="14.4" customHeight="1" x14ac:dyDescent="0.25">
      <c r="B595" s="702"/>
      <c r="C595" s="738" t="s">
        <v>1262</v>
      </c>
      <c r="D595" s="738" t="s">
        <v>298</v>
      </c>
      <c r="E595" s="739" t="s">
        <v>1263</v>
      </c>
      <c r="F595" s="740" t="s">
        <v>1264</v>
      </c>
      <c r="G595" s="741" t="s">
        <v>920</v>
      </c>
      <c r="H595" s="742">
        <v>2</v>
      </c>
      <c r="I595" s="743"/>
      <c r="J595" s="743">
        <f>ROUND(I595*H595,2)</f>
        <v>0</v>
      </c>
      <c r="K595" s="740" t="s">
        <v>2622</v>
      </c>
      <c r="L595" s="744"/>
      <c r="M595" s="745" t="s">
        <v>725</v>
      </c>
      <c r="N595" s="746" t="s">
        <v>813</v>
      </c>
      <c r="O595" s="711">
        <v>0</v>
      </c>
      <c r="P595" s="711">
        <f>O595*H595</f>
        <v>0</v>
      </c>
      <c r="Q595" s="711">
        <v>2.5999999999999999E-3</v>
      </c>
      <c r="R595" s="711">
        <f>Q595*H595</f>
        <v>5.1999999999999998E-3</v>
      </c>
      <c r="S595" s="711">
        <v>0</v>
      </c>
      <c r="T595" s="712">
        <f>S595*H595</f>
        <v>0</v>
      </c>
      <c r="AR595" s="668" t="s">
        <v>111</v>
      </c>
      <c r="AT595" s="668" t="s">
        <v>298</v>
      </c>
      <c r="AU595" s="668" t="s">
        <v>101</v>
      </c>
      <c r="AY595" s="157" t="s">
        <v>863</v>
      </c>
      <c r="BE595" s="713">
        <f>IF(N595="základní",J595,0)</f>
        <v>0</v>
      </c>
      <c r="BF595" s="713">
        <f>IF(N595="snížená",J595,0)</f>
        <v>0</v>
      </c>
      <c r="BG595" s="713">
        <f>IF(N595="zákl. přenesená",J595,0)</f>
        <v>0</v>
      </c>
      <c r="BH595" s="713">
        <f>IF(N595="sníž. přenesená",J595,0)</f>
        <v>0</v>
      </c>
      <c r="BI595" s="713">
        <f>IF(N595="nulová",J595,0)</f>
        <v>0</v>
      </c>
      <c r="BJ595" s="157" t="s">
        <v>99</v>
      </c>
      <c r="BK595" s="713">
        <f>ROUND(I595*H595,2)</f>
        <v>0</v>
      </c>
      <c r="BL595" s="157" t="s">
        <v>103</v>
      </c>
      <c r="BM595" s="668" t="s">
        <v>1265</v>
      </c>
    </row>
    <row r="596" spans="2:65" s="723" customFormat="1" ht="11.4" x14ac:dyDescent="0.25">
      <c r="B596" s="722"/>
      <c r="D596" s="716" t="s">
        <v>868</v>
      </c>
      <c r="E596" s="724" t="s">
        <v>725</v>
      </c>
      <c r="F596" s="725" t="s">
        <v>1243</v>
      </c>
      <c r="H596" s="726">
        <v>2</v>
      </c>
      <c r="K596" s="727"/>
      <c r="L596" s="722"/>
      <c r="M596" s="728"/>
      <c r="T596" s="729"/>
      <c r="AT596" s="724" t="s">
        <v>868</v>
      </c>
      <c r="AU596" s="724" t="s">
        <v>101</v>
      </c>
      <c r="AV596" s="723" t="s">
        <v>101</v>
      </c>
      <c r="AW596" s="723" t="s">
        <v>870</v>
      </c>
      <c r="AX596" s="723" t="s">
        <v>99</v>
      </c>
      <c r="AY596" s="724" t="s">
        <v>863</v>
      </c>
    </row>
    <row r="597" spans="2:65" s="163" customFormat="1" ht="14.4" customHeight="1" x14ac:dyDescent="0.25">
      <c r="B597" s="702"/>
      <c r="C597" s="738" t="s">
        <v>1266</v>
      </c>
      <c r="D597" s="738" t="s">
        <v>298</v>
      </c>
      <c r="E597" s="739" t="s">
        <v>1267</v>
      </c>
      <c r="F597" s="740" t="s">
        <v>1268</v>
      </c>
      <c r="G597" s="741" t="s">
        <v>920</v>
      </c>
      <c r="H597" s="742">
        <v>6</v>
      </c>
      <c r="I597" s="743"/>
      <c r="J597" s="743">
        <f>ROUND(I597*H597,2)</f>
        <v>0</v>
      </c>
      <c r="K597" s="740" t="s">
        <v>2622</v>
      </c>
      <c r="L597" s="744"/>
      <c r="M597" s="745" t="s">
        <v>725</v>
      </c>
      <c r="N597" s="746" t="s">
        <v>813</v>
      </c>
      <c r="O597" s="711">
        <v>0</v>
      </c>
      <c r="P597" s="711">
        <f>O597*H597</f>
        <v>0</v>
      </c>
      <c r="Q597" s="711">
        <v>7.7000000000000002E-3</v>
      </c>
      <c r="R597" s="711">
        <f>Q597*H597</f>
        <v>4.6200000000000005E-2</v>
      </c>
      <c r="S597" s="711">
        <v>0</v>
      </c>
      <c r="T597" s="712">
        <f>S597*H597</f>
        <v>0</v>
      </c>
      <c r="AR597" s="668" t="s">
        <v>111</v>
      </c>
      <c r="AT597" s="668" t="s">
        <v>298</v>
      </c>
      <c r="AU597" s="668" t="s">
        <v>101</v>
      </c>
      <c r="AY597" s="157" t="s">
        <v>863</v>
      </c>
      <c r="BE597" s="713">
        <f>IF(N597="základní",J597,0)</f>
        <v>0</v>
      </c>
      <c r="BF597" s="713">
        <f>IF(N597="snížená",J597,0)</f>
        <v>0</v>
      </c>
      <c r="BG597" s="713">
        <f>IF(N597="zákl. přenesená",J597,0)</f>
        <v>0</v>
      </c>
      <c r="BH597" s="713">
        <f>IF(N597="sníž. přenesená",J597,0)</f>
        <v>0</v>
      </c>
      <c r="BI597" s="713">
        <f>IF(N597="nulová",J597,0)</f>
        <v>0</v>
      </c>
      <c r="BJ597" s="157" t="s">
        <v>99</v>
      </c>
      <c r="BK597" s="713">
        <f>ROUND(I597*H597,2)</f>
        <v>0</v>
      </c>
      <c r="BL597" s="157" t="s">
        <v>103</v>
      </c>
      <c r="BM597" s="668" t="s">
        <v>1269</v>
      </c>
    </row>
    <row r="598" spans="2:65" s="723" customFormat="1" ht="11.4" x14ac:dyDescent="0.25">
      <c r="B598" s="722"/>
      <c r="D598" s="716" t="s">
        <v>868</v>
      </c>
      <c r="E598" s="724" t="s">
        <v>725</v>
      </c>
      <c r="F598" s="725" t="s">
        <v>1244</v>
      </c>
      <c r="H598" s="726">
        <v>3</v>
      </c>
      <c r="K598" s="727"/>
      <c r="L598" s="722"/>
      <c r="M598" s="728"/>
      <c r="T598" s="729"/>
      <c r="AT598" s="724" t="s">
        <v>868</v>
      </c>
      <c r="AU598" s="724" t="s">
        <v>101</v>
      </c>
      <c r="AV598" s="723" t="s">
        <v>101</v>
      </c>
      <c r="AW598" s="723" t="s">
        <v>870</v>
      </c>
      <c r="AX598" s="723" t="s">
        <v>301</v>
      </c>
      <c r="AY598" s="724" t="s">
        <v>863</v>
      </c>
    </row>
    <row r="599" spans="2:65" s="723" customFormat="1" ht="11.4" x14ac:dyDescent="0.25">
      <c r="B599" s="722"/>
      <c r="D599" s="716" t="s">
        <v>868</v>
      </c>
      <c r="E599" s="724" t="s">
        <v>725</v>
      </c>
      <c r="F599" s="725" t="s">
        <v>1245</v>
      </c>
      <c r="H599" s="726">
        <v>3</v>
      </c>
      <c r="K599" s="727"/>
      <c r="L599" s="722"/>
      <c r="M599" s="728"/>
      <c r="T599" s="729"/>
      <c r="AT599" s="724" t="s">
        <v>868</v>
      </c>
      <c r="AU599" s="724" t="s">
        <v>101</v>
      </c>
      <c r="AV599" s="723" t="s">
        <v>101</v>
      </c>
      <c r="AW599" s="723" t="s">
        <v>870</v>
      </c>
      <c r="AX599" s="723" t="s">
        <v>301</v>
      </c>
      <c r="AY599" s="724" t="s">
        <v>863</v>
      </c>
    </row>
    <row r="600" spans="2:65" s="731" customFormat="1" ht="11.4" x14ac:dyDescent="0.25">
      <c r="B600" s="730"/>
      <c r="D600" s="716" t="s">
        <v>868</v>
      </c>
      <c r="E600" s="732" t="s">
        <v>725</v>
      </c>
      <c r="F600" s="733" t="s">
        <v>873</v>
      </c>
      <c r="H600" s="734">
        <v>6</v>
      </c>
      <c r="K600" s="735"/>
      <c r="L600" s="730"/>
      <c r="M600" s="736"/>
      <c r="T600" s="737"/>
      <c r="AT600" s="732" t="s">
        <v>868</v>
      </c>
      <c r="AU600" s="732" t="s">
        <v>101</v>
      </c>
      <c r="AV600" s="731" t="s">
        <v>103</v>
      </c>
      <c r="AW600" s="731" t="s">
        <v>870</v>
      </c>
      <c r="AX600" s="731" t="s">
        <v>99</v>
      </c>
      <c r="AY600" s="732" t="s">
        <v>863</v>
      </c>
    </row>
    <row r="601" spans="2:65" s="163" customFormat="1" ht="14.4" customHeight="1" x14ac:dyDescent="0.25">
      <c r="B601" s="702"/>
      <c r="C601" s="738" t="s">
        <v>1270</v>
      </c>
      <c r="D601" s="738" t="s">
        <v>298</v>
      </c>
      <c r="E601" s="739" t="s">
        <v>1271</v>
      </c>
      <c r="F601" s="740" t="s">
        <v>1272</v>
      </c>
      <c r="G601" s="741" t="s">
        <v>920</v>
      </c>
      <c r="H601" s="742">
        <v>1</v>
      </c>
      <c r="I601" s="743"/>
      <c r="J601" s="743">
        <f>ROUND(I601*H601,2)</f>
        <v>0</v>
      </c>
      <c r="K601" s="740" t="s">
        <v>2622</v>
      </c>
      <c r="L601" s="744"/>
      <c r="M601" s="745" t="s">
        <v>725</v>
      </c>
      <c r="N601" s="746" t="s">
        <v>813</v>
      </c>
      <c r="O601" s="711">
        <v>0</v>
      </c>
      <c r="P601" s="711">
        <f>O601*H601</f>
        <v>0</v>
      </c>
      <c r="Q601" s="711">
        <v>5.0000000000000001E-4</v>
      </c>
      <c r="R601" s="711">
        <f>Q601*H601</f>
        <v>5.0000000000000001E-4</v>
      </c>
      <c r="S601" s="711">
        <v>0</v>
      </c>
      <c r="T601" s="712">
        <f>S601*H601</f>
        <v>0</v>
      </c>
      <c r="AR601" s="668" t="s">
        <v>111</v>
      </c>
      <c r="AT601" s="668" t="s">
        <v>298</v>
      </c>
      <c r="AU601" s="668" t="s">
        <v>101</v>
      </c>
      <c r="AY601" s="157" t="s">
        <v>863</v>
      </c>
      <c r="BE601" s="713">
        <f>IF(N601="základní",J601,0)</f>
        <v>0</v>
      </c>
      <c r="BF601" s="713">
        <f>IF(N601="snížená",J601,0)</f>
        <v>0</v>
      </c>
      <c r="BG601" s="713">
        <f>IF(N601="zákl. přenesená",J601,0)</f>
        <v>0</v>
      </c>
      <c r="BH601" s="713">
        <f>IF(N601="sníž. přenesená",J601,0)</f>
        <v>0</v>
      </c>
      <c r="BI601" s="713">
        <f>IF(N601="nulová",J601,0)</f>
        <v>0</v>
      </c>
      <c r="BJ601" s="157" t="s">
        <v>99</v>
      </c>
      <c r="BK601" s="713">
        <f>ROUND(I601*H601,2)</f>
        <v>0</v>
      </c>
      <c r="BL601" s="157" t="s">
        <v>103</v>
      </c>
      <c r="BM601" s="668" t="s">
        <v>1273</v>
      </c>
    </row>
    <row r="602" spans="2:65" s="723" customFormat="1" ht="11.4" x14ac:dyDescent="0.25">
      <c r="B602" s="722"/>
      <c r="D602" s="716" t="s">
        <v>868</v>
      </c>
      <c r="E602" s="724" t="s">
        <v>725</v>
      </c>
      <c r="F602" s="725" t="s">
        <v>1246</v>
      </c>
      <c r="H602" s="726">
        <v>1</v>
      </c>
      <c r="K602" s="727"/>
      <c r="L602" s="722"/>
      <c r="M602" s="728"/>
      <c r="T602" s="729"/>
      <c r="AT602" s="724" t="s">
        <v>868</v>
      </c>
      <c r="AU602" s="724" t="s">
        <v>101</v>
      </c>
      <c r="AV602" s="723" t="s">
        <v>101</v>
      </c>
      <c r="AW602" s="723" t="s">
        <v>870</v>
      </c>
      <c r="AX602" s="723" t="s">
        <v>99</v>
      </c>
      <c r="AY602" s="724" t="s">
        <v>863</v>
      </c>
    </row>
    <row r="603" spans="2:65" s="163" customFormat="1" ht="14.4" customHeight="1" x14ac:dyDescent="0.25">
      <c r="B603" s="702"/>
      <c r="C603" s="738" t="s">
        <v>1274</v>
      </c>
      <c r="D603" s="738" t="s">
        <v>298</v>
      </c>
      <c r="E603" s="739" t="s">
        <v>1275</v>
      </c>
      <c r="F603" s="740" t="s">
        <v>1276</v>
      </c>
      <c r="G603" s="741" t="s">
        <v>920</v>
      </c>
      <c r="H603" s="742">
        <v>1</v>
      </c>
      <c r="I603" s="743"/>
      <c r="J603" s="743">
        <f>ROUND(I603*H603,2)</f>
        <v>0</v>
      </c>
      <c r="K603" s="740" t="s">
        <v>2622</v>
      </c>
      <c r="L603" s="744"/>
      <c r="M603" s="745" t="s">
        <v>725</v>
      </c>
      <c r="N603" s="746" t="s">
        <v>813</v>
      </c>
      <c r="O603" s="711">
        <v>0</v>
      </c>
      <c r="P603" s="711">
        <f>O603*H603</f>
        <v>0</v>
      </c>
      <c r="Q603" s="711">
        <v>1.6999999999999999E-3</v>
      </c>
      <c r="R603" s="711">
        <f>Q603*H603</f>
        <v>1.6999999999999999E-3</v>
      </c>
      <c r="S603" s="711">
        <v>0</v>
      </c>
      <c r="T603" s="712">
        <f>S603*H603</f>
        <v>0</v>
      </c>
      <c r="AR603" s="668" t="s">
        <v>111</v>
      </c>
      <c r="AT603" s="668" t="s">
        <v>298</v>
      </c>
      <c r="AU603" s="668" t="s">
        <v>101</v>
      </c>
      <c r="AY603" s="157" t="s">
        <v>863</v>
      </c>
      <c r="BE603" s="713">
        <f>IF(N603="základní",J603,0)</f>
        <v>0</v>
      </c>
      <c r="BF603" s="713">
        <f>IF(N603="snížená",J603,0)</f>
        <v>0</v>
      </c>
      <c r="BG603" s="713">
        <f>IF(N603="zákl. přenesená",J603,0)</f>
        <v>0</v>
      </c>
      <c r="BH603" s="713">
        <f>IF(N603="sníž. přenesená",J603,0)</f>
        <v>0</v>
      </c>
      <c r="BI603" s="713">
        <f>IF(N603="nulová",J603,0)</f>
        <v>0</v>
      </c>
      <c r="BJ603" s="157" t="s">
        <v>99</v>
      </c>
      <c r="BK603" s="713">
        <f>ROUND(I603*H603,2)</f>
        <v>0</v>
      </c>
      <c r="BL603" s="157" t="s">
        <v>103</v>
      </c>
      <c r="BM603" s="668" t="s">
        <v>1277</v>
      </c>
    </row>
    <row r="604" spans="2:65" s="723" customFormat="1" ht="11.4" x14ac:dyDescent="0.25">
      <c r="B604" s="722"/>
      <c r="D604" s="716" t="s">
        <v>868</v>
      </c>
      <c r="E604" s="724" t="s">
        <v>725</v>
      </c>
      <c r="F604" s="725" t="s">
        <v>1247</v>
      </c>
      <c r="H604" s="726">
        <v>1</v>
      </c>
      <c r="K604" s="727"/>
      <c r="L604" s="722"/>
      <c r="M604" s="728"/>
      <c r="T604" s="729"/>
      <c r="AT604" s="724" t="s">
        <v>868</v>
      </c>
      <c r="AU604" s="724" t="s">
        <v>101</v>
      </c>
      <c r="AV604" s="723" t="s">
        <v>101</v>
      </c>
      <c r="AW604" s="723" t="s">
        <v>870</v>
      </c>
      <c r="AX604" s="723" t="s">
        <v>99</v>
      </c>
      <c r="AY604" s="724" t="s">
        <v>863</v>
      </c>
    </row>
    <row r="605" spans="2:65" s="163" customFormat="1" ht="14.4" customHeight="1" x14ac:dyDescent="0.25">
      <c r="B605" s="702"/>
      <c r="C605" s="738" t="s">
        <v>1278</v>
      </c>
      <c r="D605" s="738" t="s">
        <v>298</v>
      </c>
      <c r="E605" s="739" t="s">
        <v>1279</v>
      </c>
      <c r="F605" s="740" t="s">
        <v>1280</v>
      </c>
      <c r="G605" s="741" t="s">
        <v>920</v>
      </c>
      <c r="H605" s="742">
        <v>30</v>
      </c>
      <c r="I605" s="743"/>
      <c r="J605" s="743">
        <f>ROUND(I605*H605,2)</f>
        <v>0</v>
      </c>
      <c r="K605" s="740" t="s">
        <v>2622</v>
      </c>
      <c r="L605" s="744"/>
      <c r="M605" s="745" t="s">
        <v>725</v>
      </c>
      <c r="N605" s="746" t="s">
        <v>813</v>
      </c>
      <c r="O605" s="711">
        <v>0</v>
      </c>
      <c r="P605" s="711">
        <f>O605*H605</f>
        <v>0</v>
      </c>
      <c r="Q605" s="711">
        <v>4.0000000000000002E-4</v>
      </c>
      <c r="R605" s="711">
        <f>Q605*H605</f>
        <v>1.2E-2</v>
      </c>
      <c r="S605" s="711">
        <v>0</v>
      </c>
      <c r="T605" s="712">
        <f>S605*H605</f>
        <v>0</v>
      </c>
      <c r="AR605" s="668" t="s">
        <v>111</v>
      </c>
      <c r="AT605" s="668" t="s">
        <v>298</v>
      </c>
      <c r="AU605" s="668" t="s">
        <v>101</v>
      </c>
      <c r="AY605" s="157" t="s">
        <v>863</v>
      </c>
      <c r="BE605" s="713">
        <f>IF(N605="základní",J605,0)</f>
        <v>0</v>
      </c>
      <c r="BF605" s="713">
        <f>IF(N605="snížená",J605,0)</f>
        <v>0</v>
      </c>
      <c r="BG605" s="713">
        <f>IF(N605="zákl. přenesená",J605,0)</f>
        <v>0</v>
      </c>
      <c r="BH605" s="713">
        <f>IF(N605="sníž. přenesená",J605,0)</f>
        <v>0</v>
      </c>
      <c r="BI605" s="713">
        <f>IF(N605="nulová",J605,0)</f>
        <v>0</v>
      </c>
      <c r="BJ605" s="157" t="s">
        <v>99</v>
      </c>
      <c r="BK605" s="713">
        <f>ROUND(I605*H605,2)</f>
        <v>0</v>
      </c>
      <c r="BL605" s="157" t="s">
        <v>103</v>
      </c>
      <c r="BM605" s="668" t="s">
        <v>1281</v>
      </c>
    </row>
    <row r="606" spans="2:65" s="723" customFormat="1" ht="11.4" x14ac:dyDescent="0.25">
      <c r="B606" s="722"/>
      <c r="D606" s="716" t="s">
        <v>868</v>
      </c>
      <c r="E606" s="724" t="s">
        <v>725</v>
      </c>
      <c r="F606" s="725" t="s">
        <v>1282</v>
      </c>
      <c r="H606" s="726">
        <v>4</v>
      </c>
      <c r="K606" s="727"/>
      <c r="L606" s="722"/>
      <c r="M606" s="728"/>
      <c r="T606" s="729"/>
      <c r="AT606" s="724" t="s">
        <v>868</v>
      </c>
      <c r="AU606" s="724" t="s">
        <v>101</v>
      </c>
      <c r="AV606" s="723" t="s">
        <v>101</v>
      </c>
      <c r="AW606" s="723" t="s">
        <v>870</v>
      </c>
      <c r="AX606" s="723" t="s">
        <v>301</v>
      </c>
      <c r="AY606" s="724" t="s">
        <v>863</v>
      </c>
    </row>
    <row r="607" spans="2:65" s="723" customFormat="1" ht="11.4" x14ac:dyDescent="0.25">
      <c r="B607" s="722"/>
      <c r="D607" s="716" t="s">
        <v>868</v>
      </c>
      <c r="E607" s="724" t="s">
        <v>725</v>
      </c>
      <c r="F607" s="725" t="s">
        <v>1283</v>
      </c>
      <c r="H607" s="726">
        <v>4</v>
      </c>
      <c r="K607" s="727"/>
      <c r="L607" s="722"/>
      <c r="M607" s="728"/>
      <c r="T607" s="729"/>
      <c r="AT607" s="724" t="s">
        <v>868</v>
      </c>
      <c r="AU607" s="724" t="s">
        <v>101</v>
      </c>
      <c r="AV607" s="723" t="s">
        <v>101</v>
      </c>
      <c r="AW607" s="723" t="s">
        <v>870</v>
      </c>
      <c r="AX607" s="723" t="s">
        <v>301</v>
      </c>
      <c r="AY607" s="724" t="s">
        <v>863</v>
      </c>
    </row>
    <row r="608" spans="2:65" s="723" customFormat="1" ht="11.4" x14ac:dyDescent="0.25">
      <c r="B608" s="722"/>
      <c r="D608" s="716" t="s">
        <v>868</v>
      </c>
      <c r="E608" s="724" t="s">
        <v>725</v>
      </c>
      <c r="F608" s="725" t="s">
        <v>1284</v>
      </c>
      <c r="H608" s="726">
        <v>9</v>
      </c>
      <c r="K608" s="727"/>
      <c r="L608" s="722"/>
      <c r="M608" s="728"/>
      <c r="T608" s="729"/>
      <c r="AT608" s="724" t="s">
        <v>868</v>
      </c>
      <c r="AU608" s="724" t="s">
        <v>101</v>
      </c>
      <c r="AV608" s="723" t="s">
        <v>101</v>
      </c>
      <c r="AW608" s="723" t="s">
        <v>870</v>
      </c>
      <c r="AX608" s="723" t="s">
        <v>301</v>
      </c>
      <c r="AY608" s="724" t="s">
        <v>863</v>
      </c>
    </row>
    <row r="609" spans="2:65" s="723" customFormat="1" ht="11.4" x14ac:dyDescent="0.25">
      <c r="B609" s="722"/>
      <c r="D609" s="716" t="s">
        <v>868</v>
      </c>
      <c r="E609" s="724" t="s">
        <v>725</v>
      </c>
      <c r="F609" s="725" t="s">
        <v>1285</v>
      </c>
      <c r="H609" s="726">
        <v>9</v>
      </c>
      <c r="K609" s="727"/>
      <c r="L609" s="722"/>
      <c r="M609" s="728"/>
      <c r="T609" s="729"/>
      <c r="AT609" s="724" t="s">
        <v>868</v>
      </c>
      <c r="AU609" s="724" t="s">
        <v>101</v>
      </c>
      <c r="AV609" s="723" t="s">
        <v>101</v>
      </c>
      <c r="AW609" s="723" t="s">
        <v>870</v>
      </c>
      <c r="AX609" s="723" t="s">
        <v>301</v>
      </c>
      <c r="AY609" s="724" t="s">
        <v>863</v>
      </c>
    </row>
    <row r="610" spans="2:65" s="723" customFormat="1" ht="11.4" x14ac:dyDescent="0.25">
      <c r="B610" s="722"/>
      <c r="D610" s="716" t="s">
        <v>868</v>
      </c>
      <c r="E610" s="724" t="s">
        <v>725</v>
      </c>
      <c r="F610" s="725" t="s">
        <v>1286</v>
      </c>
      <c r="H610" s="726">
        <v>2</v>
      </c>
      <c r="K610" s="727"/>
      <c r="L610" s="722"/>
      <c r="M610" s="728"/>
      <c r="T610" s="729"/>
      <c r="AT610" s="724" t="s">
        <v>868</v>
      </c>
      <c r="AU610" s="724" t="s">
        <v>101</v>
      </c>
      <c r="AV610" s="723" t="s">
        <v>101</v>
      </c>
      <c r="AW610" s="723" t="s">
        <v>870</v>
      </c>
      <c r="AX610" s="723" t="s">
        <v>301</v>
      </c>
      <c r="AY610" s="724" t="s">
        <v>863</v>
      </c>
    </row>
    <row r="611" spans="2:65" s="723" customFormat="1" ht="11.4" x14ac:dyDescent="0.25">
      <c r="B611" s="722"/>
      <c r="D611" s="716" t="s">
        <v>868</v>
      </c>
      <c r="E611" s="724" t="s">
        <v>725</v>
      </c>
      <c r="F611" s="725" t="s">
        <v>1287</v>
      </c>
      <c r="H611" s="726">
        <v>2</v>
      </c>
      <c r="K611" s="727"/>
      <c r="L611" s="722"/>
      <c r="M611" s="728"/>
      <c r="T611" s="729"/>
      <c r="AT611" s="724" t="s">
        <v>868</v>
      </c>
      <c r="AU611" s="724" t="s">
        <v>101</v>
      </c>
      <c r="AV611" s="723" t="s">
        <v>101</v>
      </c>
      <c r="AW611" s="723" t="s">
        <v>870</v>
      </c>
      <c r="AX611" s="723" t="s">
        <v>301</v>
      </c>
      <c r="AY611" s="724" t="s">
        <v>863</v>
      </c>
    </row>
    <row r="612" spans="2:65" s="731" customFormat="1" ht="11.4" x14ac:dyDescent="0.25">
      <c r="B612" s="730"/>
      <c r="D612" s="716" t="s">
        <v>868</v>
      </c>
      <c r="E612" s="732" t="s">
        <v>725</v>
      </c>
      <c r="F612" s="733" t="s">
        <v>873</v>
      </c>
      <c r="H612" s="734">
        <v>30</v>
      </c>
      <c r="K612" s="735"/>
      <c r="L612" s="730"/>
      <c r="M612" s="736"/>
      <c r="T612" s="737"/>
      <c r="AT612" s="732" t="s">
        <v>868</v>
      </c>
      <c r="AU612" s="732" t="s">
        <v>101</v>
      </c>
      <c r="AV612" s="731" t="s">
        <v>103</v>
      </c>
      <c r="AW612" s="731" t="s">
        <v>870</v>
      </c>
      <c r="AX612" s="731" t="s">
        <v>99</v>
      </c>
      <c r="AY612" s="732" t="s">
        <v>863</v>
      </c>
    </row>
    <row r="613" spans="2:65" s="163" customFormat="1" ht="25.95" customHeight="1" x14ac:dyDescent="0.25">
      <c r="B613" s="702"/>
      <c r="C613" s="703" t="s">
        <v>1288</v>
      </c>
      <c r="D613" s="703" t="s">
        <v>864</v>
      </c>
      <c r="E613" s="704" t="s">
        <v>1289</v>
      </c>
      <c r="F613" s="705" t="s">
        <v>2535</v>
      </c>
      <c r="G613" s="706" t="s">
        <v>920</v>
      </c>
      <c r="H613" s="707">
        <v>0</v>
      </c>
      <c r="I613" s="708"/>
      <c r="J613" s="708">
        <f>ROUND(I613*H613,2)</f>
        <v>0</v>
      </c>
      <c r="K613" s="705" t="s">
        <v>931</v>
      </c>
      <c r="L613" s="164"/>
      <c r="M613" s="709" t="s">
        <v>725</v>
      </c>
      <c r="N613" s="710" t="s">
        <v>813</v>
      </c>
      <c r="O613" s="711">
        <v>2.0299999999999998</v>
      </c>
      <c r="P613" s="711">
        <f>O613*H613</f>
        <v>0</v>
      </c>
      <c r="Q613" s="711">
        <v>0.67023999999999995</v>
      </c>
      <c r="R613" s="711">
        <f>Q613*H613</f>
        <v>0</v>
      </c>
      <c r="S613" s="711">
        <v>0</v>
      </c>
      <c r="T613" s="712">
        <f>S613*H613</f>
        <v>0</v>
      </c>
      <c r="AR613" s="668" t="s">
        <v>103</v>
      </c>
      <c r="AT613" s="668" t="s">
        <v>864</v>
      </c>
      <c r="AU613" s="668" t="s">
        <v>101</v>
      </c>
      <c r="AY613" s="157" t="s">
        <v>863</v>
      </c>
      <c r="BE613" s="713">
        <f>IF(N613="základní",J613,0)</f>
        <v>0</v>
      </c>
      <c r="BF613" s="713">
        <f>IF(N613="snížená",J613,0)</f>
        <v>0</v>
      </c>
      <c r="BG613" s="713">
        <f>IF(N613="zákl. přenesená",J613,0)</f>
        <v>0</v>
      </c>
      <c r="BH613" s="713">
        <f>IF(N613="sníž. přenesená",J613,0)</f>
        <v>0</v>
      </c>
      <c r="BI613" s="713">
        <f>IF(N613="nulová",J613,0)</f>
        <v>0</v>
      </c>
      <c r="BJ613" s="157" t="s">
        <v>99</v>
      </c>
      <c r="BK613" s="713">
        <f>ROUND(I613*H613,2)</f>
        <v>0</v>
      </c>
      <c r="BL613" s="157" t="s">
        <v>103</v>
      </c>
      <c r="BM613" s="668" t="s">
        <v>1290</v>
      </c>
    </row>
    <row r="614" spans="2:65" s="715" customFormat="1" ht="11.4" x14ac:dyDescent="0.25">
      <c r="B614" s="714"/>
      <c r="D614" s="716" t="s">
        <v>868</v>
      </c>
      <c r="E614" s="717" t="s">
        <v>725</v>
      </c>
      <c r="F614" s="718" t="s">
        <v>886</v>
      </c>
      <c r="H614" s="717" t="s">
        <v>725</v>
      </c>
      <c r="K614" s="719"/>
      <c r="L614" s="714"/>
      <c r="M614" s="720"/>
      <c r="T614" s="721"/>
      <c r="AT614" s="717" t="s">
        <v>868</v>
      </c>
      <c r="AU614" s="717" t="s">
        <v>101</v>
      </c>
      <c r="AV614" s="715" t="s">
        <v>99</v>
      </c>
      <c r="AW614" s="715" t="s">
        <v>870</v>
      </c>
      <c r="AX614" s="715" t="s">
        <v>301</v>
      </c>
      <c r="AY614" s="717" t="s">
        <v>863</v>
      </c>
    </row>
    <row r="615" spans="2:65" s="723" customFormat="1" ht="11.4" x14ac:dyDescent="0.25">
      <c r="B615" s="722"/>
      <c r="D615" s="716" t="s">
        <v>868</v>
      </c>
      <c r="E615" s="724" t="s">
        <v>725</v>
      </c>
      <c r="F615" s="725" t="s">
        <v>1291</v>
      </c>
      <c r="H615" s="726">
        <v>22</v>
      </c>
      <c r="K615" s="727"/>
      <c r="L615" s="722"/>
      <c r="M615" s="728"/>
      <c r="T615" s="729"/>
      <c r="AT615" s="724" t="s">
        <v>868</v>
      </c>
      <c r="AU615" s="724" t="s">
        <v>101</v>
      </c>
      <c r="AV615" s="723" t="s">
        <v>101</v>
      </c>
      <c r="AW615" s="723" t="s">
        <v>870</v>
      </c>
      <c r="AX615" s="723" t="s">
        <v>301</v>
      </c>
      <c r="AY615" s="724" t="s">
        <v>863</v>
      </c>
    </row>
    <row r="616" spans="2:65" s="731" customFormat="1" ht="11.4" x14ac:dyDescent="0.25">
      <c r="B616" s="730"/>
      <c r="D616" s="716" t="s">
        <v>868</v>
      </c>
      <c r="E616" s="732" t="s">
        <v>725</v>
      </c>
      <c r="F616" s="733" t="s">
        <v>873</v>
      </c>
      <c r="H616" s="734">
        <v>22</v>
      </c>
      <c r="K616" s="735"/>
      <c r="L616" s="730"/>
      <c r="M616" s="736"/>
      <c r="T616" s="737"/>
      <c r="AT616" s="732" t="s">
        <v>868</v>
      </c>
      <c r="AU616" s="732" t="s">
        <v>101</v>
      </c>
      <c r="AV616" s="731" t="s">
        <v>103</v>
      </c>
      <c r="AW616" s="731" t="s">
        <v>870</v>
      </c>
      <c r="AX616" s="731" t="s">
        <v>99</v>
      </c>
      <c r="AY616" s="732" t="s">
        <v>863</v>
      </c>
    </row>
    <row r="617" spans="2:65" s="163" customFormat="1" ht="14.4" customHeight="1" x14ac:dyDescent="0.25">
      <c r="B617" s="702"/>
      <c r="C617" s="703" t="s">
        <v>1292</v>
      </c>
      <c r="D617" s="703" t="s">
        <v>864</v>
      </c>
      <c r="E617" s="704" t="s">
        <v>1293</v>
      </c>
      <c r="F617" s="705" t="s">
        <v>1294</v>
      </c>
      <c r="G617" s="706" t="s">
        <v>920</v>
      </c>
      <c r="H617" s="707">
        <v>11</v>
      </c>
      <c r="I617" s="708"/>
      <c r="J617" s="708">
        <f>ROUND(I617*H617,2)</f>
        <v>0</v>
      </c>
      <c r="K617" s="705" t="s">
        <v>2622</v>
      </c>
      <c r="L617" s="164"/>
      <c r="M617" s="709" t="s">
        <v>725</v>
      </c>
      <c r="N617" s="710" t="s">
        <v>813</v>
      </c>
      <c r="O617" s="711">
        <v>0.54900000000000004</v>
      </c>
      <c r="P617" s="711">
        <f>O617*H617</f>
        <v>6.0390000000000006</v>
      </c>
      <c r="Q617" s="711">
        <v>0.11241</v>
      </c>
      <c r="R617" s="711">
        <f>Q617*H617</f>
        <v>1.23651</v>
      </c>
      <c r="S617" s="711">
        <v>0</v>
      </c>
      <c r="T617" s="712">
        <f>S617*H617</f>
        <v>0</v>
      </c>
      <c r="AR617" s="668" t="s">
        <v>103</v>
      </c>
      <c r="AT617" s="668" t="s">
        <v>864</v>
      </c>
      <c r="AU617" s="668" t="s">
        <v>101</v>
      </c>
      <c r="AY617" s="157" t="s">
        <v>863</v>
      </c>
      <c r="BE617" s="713">
        <f>IF(N617="základní",J617,0)</f>
        <v>0</v>
      </c>
      <c r="BF617" s="713">
        <f>IF(N617="snížená",J617,0)</f>
        <v>0</v>
      </c>
      <c r="BG617" s="713">
        <f>IF(N617="zákl. přenesená",J617,0)</f>
        <v>0</v>
      </c>
      <c r="BH617" s="713">
        <f>IF(N617="sníž. přenesená",J617,0)</f>
        <v>0</v>
      </c>
      <c r="BI617" s="713">
        <f>IF(N617="nulová",J617,0)</f>
        <v>0</v>
      </c>
      <c r="BJ617" s="157" t="s">
        <v>99</v>
      </c>
      <c r="BK617" s="713">
        <f>ROUND(I617*H617,2)</f>
        <v>0</v>
      </c>
      <c r="BL617" s="157" t="s">
        <v>103</v>
      </c>
      <c r="BM617" s="668" t="s">
        <v>1295</v>
      </c>
    </row>
    <row r="618" spans="2:65" s="715" customFormat="1" ht="11.4" x14ac:dyDescent="0.25">
      <c r="B618" s="714"/>
      <c r="D618" s="716" t="s">
        <v>868</v>
      </c>
      <c r="E618" s="717" t="s">
        <v>725</v>
      </c>
      <c r="F618" s="718" t="s">
        <v>1240</v>
      </c>
      <c r="H618" s="717" t="s">
        <v>725</v>
      </c>
      <c r="K618" s="719"/>
      <c r="L618" s="714"/>
      <c r="M618" s="720"/>
      <c r="T618" s="721"/>
      <c r="AT618" s="717" t="s">
        <v>868</v>
      </c>
      <c r="AU618" s="717" t="s">
        <v>101</v>
      </c>
      <c r="AV618" s="715" t="s">
        <v>99</v>
      </c>
      <c r="AW618" s="715" t="s">
        <v>870</v>
      </c>
      <c r="AX618" s="715" t="s">
        <v>301</v>
      </c>
      <c r="AY618" s="717" t="s">
        <v>863</v>
      </c>
    </row>
    <row r="619" spans="2:65" s="715" customFormat="1" ht="11.4" x14ac:dyDescent="0.25">
      <c r="B619" s="714"/>
      <c r="D619" s="716" t="s">
        <v>868</v>
      </c>
      <c r="E619" s="717" t="s">
        <v>725</v>
      </c>
      <c r="F619" s="718" t="s">
        <v>1241</v>
      </c>
      <c r="H619" s="717" t="s">
        <v>725</v>
      </c>
      <c r="K619" s="719"/>
      <c r="L619" s="714"/>
      <c r="M619" s="720"/>
      <c r="T619" s="721"/>
      <c r="AT619" s="717" t="s">
        <v>868</v>
      </c>
      <c r="AU619" s="717" t="s">
        <v>101</v>
      </c>
      <c r="AV619" s="715" t="s">
        <v>99</v>
      </c>
      <c r="AW619" s="715" t="s">
        <v>870</v>
      </c>
      <c r="AX619" s="715" t="s">
        <v>301</v>
      </c>
      <c r="AY619" s="717" t="s">
        <v>863</v>
      </c>
    </row>
    <row r="620" spans="2:65" s="723" customFormat="1" ht="11.4" x14ac:dyDescent="0.25">
      <c r="B620" s="722"/>
      <c r="D620" s="716" t="s">
        <v>868</v>
      </c>
      <c r="E620" s="724" t="s">
        <v>725</v>
      </c>
      <c r="F620" s="725" t="s">
        <v>1296</v>
      </c>
      <c r="H620" s="726">
        <v>5</v>
      </c>
      <c r="K620" s="727"/>
      <c r="L620" s="722"/>
      <c r="M620" s="728"/>
      <c r="T620" s="729"/>
      <c r="AT620" s="724" t="s">
        <v>868</v>
      </c>
      <c r="AU620" s="724" t="s">
        <v>101</v>
      </c>
      <c r="AV620" s="723" t="s">
        <v>101</v>
      </c>
      <c r="AW620" s="723" t="s">
        <v>870</v>
      </c>
      <c r="AX620" s="723" t="s">
        <v>301</v>
      </c>
      <c r="AY620" s="724" t="s">
        <v>863</v>
      </c>
    </row>
    <row r="621" spans="2:65" s="723" customFormat="1" ht="11.4" x14ac:dyDescent="0.25">
      <c r="B621" s="722"/>
      <c r="D621" s="716" t="s">
        <v>868</v>
      </c>
      <c r="E621" s="724" t="s">
        <v>725</v>
      </c>
      <c r="F621" s="725" t="s">
        <v>1297</v>
      </c>
      <c r="H621" s="726">
        <v>6</v>
      </c>
      <c r="K621" s="727"/>
      <c r="L621" s="722"/>
      <c r="M621" s="728"/>
      <c r="T621" s="729"/>
      <c r="AT621" s="724" t="s">
        <v>868</v>
      </c>
      <c r="AU621" s="724" t="s">
        <v>101</v>
      </c>
      <c r="AV621" s="723" t="s">
        <v>101</v>
      </c>
      <c r="AW621" s="723" t="s">
        <v>870</v>
      </c>
      <c r="AX621" s="723" t="s">
        <v>301</v>
      </c>
      <c r="AY621" s="724" t="s">
        <v>863</v>
      </c>
    </row>
    <row r="622" spans="2:65" s="731" customFormat="1" ht="11.4" x14ac:dyDescent="0.25">
      <c r="B622" s="730"/>
      <c r="D622" s="716" t="s">
        <v>868</v>
      </c>
      <c r="E622" s="732" t="s">
        <v>725</v>
      </c>
      <c r="F622" s="733" t="s">
        <v>873</v>
      </c>
      <c r="H622" s="734">
        <v>11</v>
      </c>
      <c r="K622" s="735"/>
      <c r="L622" s="730"/>
      <c r="M622" s="736"/>
      <c r="T622" s="737"/>
      <c r="AT622" s="732" t="s">
        <v>868</v>
      </c>
      <c r="AU622" s="732" t="s">
        <v>101</v>
      </c>
      <c r="AV622" s="731" t="s">
        <v>103</v>
      </c>
      <c r="AW622" s="731" t="s">
        <v>870</v>
      </c>
      <c r="AX622" s="731" t="s">
        <v>99</v>
      </c>
      <c r="AY622" s="732" t="s">
        <v>863</v>
      </c>
    </row>
    <row r="623" spans="2:65" s="163" customFormat="1" ht="14.4" customHeight="1" x14ac:dyDescent="0.25">
      <c r="B623" s="702"/>
      <c r="C623" s="738" t="s">
        <v>1298</v>
      </c>
      <c r="D623" s="738" t="s">
        <v>298</v>
      </c>
      <c r="E623" s="739" t="s">
        <v>1299</v>
      </c>
      <c r="F623" s="740" t="s">
        <v>1300</v>
      </c>
      <c r="G623" s="741" t="s">
        <v>920</v>
      </c>
      <c r="H623" s="742">
        <v>6</v>
      </c>
      <c r="I623" s="743"/>
      <c r="J623" s="743">
        <f>ROUND(I623*H623,2)</f>
        <v>0</v>
      </c>
      <c r="K623" s="740" t="s">
        <v>2622</v>
      </c>
      <c r="L623" s="744"/>
      <c r="M623" s="745" t="s">
        <v>725</v>
      </c>
      <c r="N623" s="746" t="s">
        <v>813</v>
      </c>
      <c r="O623" s="711">
        <v>0</v>
      </c>
      <c r="P623" s="711">
        <f>O623*H623</f>
        <v>0</v>
      </c>
      <c r="Q623" s="711">
        <v>6.4999999999999997E-3</v>
      </c>
      <c r="R623" s="711">
        <f>Q623*H623</f>
        <v>3.9E-2</v>
      </c>
      <c r="S623" s="711">
        <v>0</v>
      </c>
      <c r="T623" s="712">
        <f>S623*H623</f>
        <v>0</v>
      </c>
      <c r="AR623" s="668" t="s">
        <v>111</v>
      </c>
      <c r="AT623" s="668" t="s">
        <v>298</v>
      </c>
      <c r="AU623" s="668" t="s">
        <v>101</v>
      </c>
      <c r="AY623" s="157" t="s">
        <v>863</v>
      </c>
      <c r="BE623" s="713">
        <f>IF(N623="základní",J623,0)</f>
        <v>0</v>
      </c>
      <c r="BF623" s="713">
        <f>IF(N623="snížená",J623,0)</f>
        <v>0</v>
      </c>
      <c r="BG623" s="713">
        <f>IF(N623="zákl. přenesená",J623,0)</f>
        <v>0</v>
      </c>
      <c r="BH623" s="713">
        <f>IF(N623="sníž. přenesená",J623,0)</f>
        <v>0</v>
      </c>
      <c r="BI623" s="713">
        <f>IF(N623="nulová",J623,0)</f>
        <v>0</v>
      </c>
      <c r="BJ623" s="157" t="s">
        <v>99</v>
      </c>
      <c r="BK623" s="713">
        <f>ROUND(I623*H623,2)</f>
        <v>0</v>
      </c>
      <c r="BL623" s="157" t="s">
        <v>103</v>
      </c>
      <c r="BM623" s="668" t="s">
        <v>1301</v>
      </c>
    </row>
    <row r="624" spans="2:65" s="163" customFormat="1" ht="24" customHeight="1" x14ac:dyDescent="0.25">
      <c r="B624" s="702"/>
      <c r="C624" s="703" t="s">
        <v>1302</v>
      </c>
      <c r="D624" s="703" t="s">
        <v>864</v>
      </c>
      <c r="E624" s="704" t="s">
        <v>1303</v>
      </c>
      <c r="F624" s="705" t="s">
        <v>1304</v>
      </c>
      <c r="G624" s="706" t="s">
        <v>140</v>
      </c>
      <c r="H624" s="707">
        <v>13.67</v>
      </c>
      <c r="I624" s="708"/>
      <c r="J624" s="708">
        <f>ROUND(I624*H624,2)</f>
        <v>0</v>
      </c>
      <c r="K624" s="705" t="s">
        <v>2622</v>
      </c>
      <c r="L624" s="164"/>
      <c r="M624" s="709" t="s">
        <v>725</v>
      </c>
      <c r="N624" s="710" t="s">
        <v>813</v>
      </c>
      <c r="O624" s="711">
        <v>3.0000000000000001E-3</v>
      </c>
      <c r="P624" s="711">
        <f>O624*H624</f>
        <v>4.1009999999999998E-2</v>
      </c>
      <c r="Q624" s="711">
        <v>2.0000000000000001E-4</v>
      </c>
      <c r="R624" s="711">
        <f>Q624*H624</f>
        <v>2.7340000000000003E-3</v>
      </c>
      <c r="S624" s="711">
        <v>0</v>
      </c>
      <c r="T624" s="712">
        <f>S624*H624</f>
        <v>0</v>
      </c>
      <c r="AR624" s="668" t="s">
        <v>103</v>
      </c>
      <c r="AT624" s="668" t="s">
        <v>864</v>
      </c>
      <c r="AU624" s="668" t="s">
        <v>101</v>
      </c>
      <c r="AY624" s="157" t="s">
        <v>863</v>
      </c>
      <c r="BE624" s="713">
        <f>IF(N624="základní",J624,0)</f>
        <v>0</v>
      </c>
      <c r="BF624" s="713">
        <f>IF(N624="snížená",J624,0)</f>
        <v>0</v>
      </c>
      <c r="BG624" s="713">
        <f>IF(N624="zákl. přenesená",J624,0)</f>
        <v>0</v>
      </c>
      <c r="BH624" s="713">
        <f>IF(N624="sníž. přenesená",J624,0)</f>
        <v>0</v>
      </c>
      <c r="BI624" s="713">
        <f>IF(N624="nulová",J624,0)</f>
        <v>0</v>
      </c>
      <c r="BJ624" s="157" t="s">
        <v>99</v>
      </c>
      <c r="BK624" s="713">
        <f>ROUND(I624*H624,2)</f>
        <v>0</v>
      </c>
      <c r="BL624" s="157" t="s">
        <v>103</v>
      </c>
      <c r="BM624" s="668" t="s">
        <v>1305</v>
      </c>
    </row>
    <row r="625" spans="2:65" s="715" customFormat="1" ht="11.4" x14ac:dyDescent="0.25">
      <c r="B625" s="714"/>
      <c r="D625" s="716" t="s">
        <v>868</v>
      </c>
      <c r="E625" s="717" t="s">
        <v>725</v>
      </c>
      <c r="F625" s="718" t="s">
        <v>1241</v>
      </c>
      <c r="H625" s="717" t="s">
        <v>725</v>
      </c>
      <c r="K625" s="719"/>
      <c r="L625" s="714"/>
      <c r="M625" s="720"/>
      <c r="T625" s="721"/>
      <c r="AT625" s="717" t="s">
        <v>868</v>
      </c>
      <c r="AU625" s="717" t="s">
        <v>101</v>
      </c>
      <c r="AV625" s="715" t="s">
        <v>99</v>
      </c>
      <c r="AW625" s="715" t="s">
        <v>870</v>
      </c>
      <c r="AX625" s="715" t="s">
        <v>301</v>
      </c>
      <c r="AY625" s="717" t="s">
        <v>863</v>
      </c>
    </row>
    <row r="626" spans="2:65" s="723" customFormat="1" ht="11.4" x14ac:dyDescent="0.25">
      <c r="B626" s="722"/>
      <c r="D626" s="716" t="s">
        <v>868</v>
      </c>
      <c r="E626" s="724" t="s">
        <v>725</v>
      </c>
      <c r="F626" s="725" t="s">
        <v>1306</v>
      </c>
      <c r="H626" s="726">
        <v>13.67</v>
      </c>
      <c r="K626" s="727"/>
      <c r="L626" s="722"/>
      <c r="M626" s="728"/>
      <c r="T626" s="729"/>
      <c r="AT626" s="724" t="s">
        <v>868</v>
      </c>
      <c r="AU626" s="724" t="s">
        <v>101</v>
      </c>
      <c r="AV626" s="723" t="s">
        <v>101</v>
      </c>
      <c r="AW626" s="723" t="s">
        <v>870</v>
      </c>
      <c r="AX626" s="723" t="s">
        <v>301</v>
      </c>
      <c r="AY626" s="724" t="s">
        <v>863</v>
      </c>
    </row>
    <row r="627" spans="2:65" s="731" customFormat="1" ht="11.4" x14ac:dyDescent="0.25">
      <c r="B627" s="730"/>
      <c r="D627" s="716" t="s">
        <v>868</v>
      </c>
      <c r="E627" s="732" t="s">
        <v>725</v>
      </c>
      <c r="F627" s="733" t="s">
        <v>873</v>
      </c>
      <c r="H627" s="734">
        <v>13.67</v>
      </c>
      <c r="K627" s="735"/>
      <c r="L627" s="730"/>
      <c r="M627" s="736"/>
      <c r="T627" s="737"/>
      <c r="AT627" s="732" t="s">
        <v>868</v>
      </c>
      <c r="AU627" s="732" t="s">
        <v>101</v>
      </c>
      <c r="AV627" s="731" t="s">
        <v>103</v>
      </c>
      <c r="AW627" s="731" t="s">
        <v>870</v>
      </c>
      <c r="AX627" s="731" t="s">
        <v>99</v>
      </c>
      <c r="AY627" s="732" t="s">
        <v>863</v>
      </c>
    </row>
    <row r="628" spans="2:65" s="163" customFormat="1" ht="26.4" customHeight="1" x14ac:dyDescent="0.25">
      <c r="B628" s="702"/>
      <c r="C628" s="703" t="s">
        <v>1307</v>
      </c>
      <c r="D628" s="703" t="s">
        <v>864</v>
      </c>
      <c r="E628" s="704" t="s">
        <v>1308</v>
      </c>
      <c r="F628" s="705" t="s">
        <v>1309</v>
      </c>
      <c r="G628" s="706" t="s">
        <v>140</v>
      </c>
      <c r="H628" s="707">
        <v>36.450000000000003</v>
      </c>
      <c r="I628" s="708"/>
      <c r="J628" s="708">
        <f>ROUND(I628*H628,2)</f>
        <v>0</v>
      </c>
      <c r="K628" s="705" t="s">
        <v>2622</v>
      </c>
      <c r="L628" s="164"/>
      <c r="M628" s="709" t="s">
        <v>725</v>
      </c>
      <c r="N628" s="710" t="s">
        <v>813</v>
      </c>
      <c r="O628" s="711">
        <v>3.0000000000000001E-3</v>
      </c>
      <c r="P628" s="711">
        <f>O628*H628</f>
        <v>0.10935000000000002</v>
      </c>
      <c r="Q628" s="711">
        <v>6.9999999999999994E-5</v>
      </c>
      <c r="R628" s="711">
        <f>Q628*H628</f>
        <v>2.5514999999999999E-3</v>
      </c>
      <c r="S628" s="711">
        <v>0</v>
      </c>
      <c r="T628" s="712">
        <f>S628*H628</f>
        <v>0</v>
      </c>
      <c r="AR628" s="668" t="s">
        <v>103</v>
      </c>
      <c r="AT628" s="668" t="s">
        <v>864</v>
      </c>
      <c r="AU628" s="668" t="s">
        <v>101</v>
      </c>
      <c r="AY628" s="157" t="s">
        <v>863</v>
      </c>
      <c r="BE628" s="713">
        <f>IF(N628="základní",J628,0)</f>
        <v>0</v>
      </c>
      <c r="BF628" s="713">
        <f>IF(N628="snížená",J628,0)</f>
        <v>0</v>
      </c>
      <c r="BG628" s="713">
        <f>IF(N628="zákl. přenesená",J628,0)</f>
        <v>0</v>
      </c>
      <c r="BH628" s="713">
        <f>IF(N628="sníž. přenesená",J628,0)</f>
        <v>0</v>
      </c>
      <c r="BI628" s="713">
        <f>IF(N628="nulová",J628,0)</f>
        <v>0</v>
      </c>
      <c r="BJ628" s="157" t="s">
        <v>99</v>
      </c>
      <c r="BK628" s="713">
        <f>ROUND(I628*H628,2)</f>
        <v>0</v>
      </c>
      <c r="BL628" s="157" t="s">
        <v>103</v>
      </c>
      <c r="BM628" s="668" t="s">
        <v>1310</v>
      </c>
    </row>
    <row r="629" spans="2:65" s="715" customFormat="1" ht="11.4" x14ac:dyDescent="0.25">
      <c r="B629" s="714"/>
      <c r="D629" s="716" t="s">
        <v>868</v>
      </c>
      <c r="E629" s="717" t="s">
        <v>725</v>
      </c>
      <c r="F629" s="718" t="s">
        <v>1241</v>
      </c>
      <c r="H629" s="717" t="s">
        <v>725</v>
      </c>
      <c r="K629" s="719"/>
      <c r="L629" s="714"/>
      <c r="M629" s="720"/>
      <c r="T629" s="721"/>
      <c r="AT629" s="717" t="s">
        <v>868</v>
      </c>
      <c r="AU629" s="717" t="s">
        <v>101</v>
      </c>
      <c r="AV629" s="715" t="s">
        <v>99</v>
      </c>
      <c r="AW629" s="715" t="s">
        <v>870</v>
      </c>
      <c r="AX629" s="715" t="s">
        <v>301</v>
      </c>
      <c r="AY629" s="717" t="s">
        <v>863</v>
      </c>
    </row>
    <row r="630" spans="2:65" s="723" customFormat="1" ht="11.4" x14ac:dyDescent="0.25">
      <c r="B630" s="722"/>
      <c r="D630" s="716" t="s">
        <v>868</v>
      </c>
      <c r="E630" s="724" t="s">
        <v>725</v>
      </c>
      <c r="F630" s="725" t="s">
        <v>1311</v>
      </c>
      <c r="H630" s="726">
        <v>9.98</v>
      </c>
      <c r="K630" s="727"/>
      <c r="L630" s="722"/>
      <c r="M630" s="728"/>
      <c r="T630" s="729"/>
      <c r="AT630" s="724" t="s">
        <v>868</v>
      </c>
      <c r="AU630" s="724" t="s">
        <v>101</v>
      </c>
      <c r="AV630" s="723" t="s">
        <v>101</v>
      </c>
      <c r="AW630" s="723" t="s">
        <v>870</v>
      </c>
      <c r="AX630" s="723" t="s">
        <v>301</v>
      </c>
      <c r="AY630" s="724" t="s">
        <v>863</v>
      </c>
    </row>
    <row r="631" spans="2:65" s="723" customFormat="1" ht="11.4" x14ac:dyDescent="0.25">
      <c r="B631" s="722"/>
      <c r="D631" s="716" t="s">
        <v>868</v>
      </c>
      <c r="E631" s="724" t="s">
        <v>725</v>
      </c>
      <c r="F631" s="725" t="s">
        <v>1312</v>
      </c>
      <c r="H631" s="726">
        <v>26.47</v>
      </c>
      <c r="K631" s="727"/>
      <c r="L631" s="722"/>
      <c r="M631" s="728"/>
      <c r="T631" s="729"/>
      <c r="AT631" s="724" t="s">
        <v>868</v>
      </c>
      <c r="AU631" s="724" t="s">
        <v>101</v>
      </c>
      <c r="AV631" s="723" t="s">
        <v>101</v>
      </c>
      <c r="AW631" s="723" t="s">
        <v>870</v>
      </c>
      <c r="AX631" s="723" t="s">
        <v>301</v>
      </c>
      <c r="AY631" s="724" t="s">
        <v>863</v>
      </c>
    </row>
    <row r="632" spans="2:65" s="731" customFormat="1" ht="11.4" x14ac:dyDescent="0.25">
      <c r="B632" s="730"/>
      <c r="D632" s="716" t="s">
        <v>868</v>
      </c>
      <c r="E632" s="732" t="s">
        <v>725</v>
      </c>
      <c r="F632" s="733" t="s">
        <v>873</v>
      </c>
      <c r="H632" s="734">
        <v>36.450000000000003</v>
      </c>
      <c r="K632" s="735"/>
      <c r="L632" s="730"/>
      <c r="M632" s="736"/>
      <c r="T632" s="737"/>
      <c r="AT632" s="732" t="s">
        <v>868</v>
      </c>
      <c r="AU632" s="732" t="s">
        <v>101</v>
      </c>
      <c r="AV632" s="731" t="s">
        <v>103</v>
      </c>
      <c r="AW632" s="731" t="s">
        <v>870</v>
      </c>
      <c r="AX632" s="731" t="s">
        <v>99</v>
      </c>
      <c r="AY632" s="732" t="s">
        <v>863</v>
      </c>
    </row>
    <row r="633" spans="2:65" s="163" customFormat="1" ht="24.15" customHeight="1" x14ac:dyDescent="0.25">
      <c r="B633" s="702"/>
      <c r="C633" s="703" t="s">
        <v>1313</v>
      </c>
      <c r="D633" s="703" t="s">
        <v>864</v>
      </c>
      <c r="E633" s="704" t="s">
        <v>1314</v>
      </c>
      <c r="F633" s="705" t="s">
        <v>1315</v>
      </c>
      <c r="G633" s="706" t="s">
        <v>140</v>
      </c>
      <c r="H633" s="707">
        <v>69.08</v>
      </c>
      <c r="I633" s="708"/>
      <c r="J633" s="708">
        <f>ROUND(I633*H633,2)</f>
        <v>0</v>
      </c>
      <c r="K633" s="705" t="s">
        <v>2622</v>
      </c>
      <c r="L633" s="164"/>
      <c r="M633" s="709" t="s">
        <v>725</v>
      </c>
      <c r="N633" s="710" t="s">
        <v>813</v>
      </c>
      <c r="O633" s="711">
        <v>0.21</v>
      </c>
      <c r="P633" s="711">
        <f>O633*H633</f>
        <v>14.506799999999998</v>
      </c>
      <c r="Q633" s="711">
        <v>3.5400000000000002E-3</v>
      </c>
      <c r="R633" s="711">
        <f>Q633*H633</f>
        <v>0.24454320000000002</v>
      </c>
      <c r="S633" s="711">
        <v>0</v>
      </c>
      <c r="T633" s="712">
        <f>S633*H633</f>
        <v>0</v>
      </c>
      <c r="AR633" s="668" t="s">
        <v>103</v>
      </c>
      <c r="AT633" s="668" t="s">
        <v>864</v>
      </c>
      <c r="AU633" s="668" t="s">
        <v>101</v>
      </c>
      <c r="AY633" s="157" t="s">
        <v>863</v>
      </c>
      <c r="BE633" s="713">
        <f>IF(N633="základní",J633,0)</f>
        <v>0</v>
      </c>
      <c r="BF633" s="713">
        <f>IF(N633="snížená",J633,0)</f>
        <v>0</v>
      </c>
      <c r="BG633" s="713">
        <f>IF(N633="zákl. přenesená",J633,0)</f>
        <v>0</v>
      </c>
      <c r="BH633" s="713">
        <f>IF(N633="sníž. přenesená",J633,0)</f>
        <v>0</v>
      </c>
      <c r="BI633" s="713">
        <f>IF(N633="nulová",J633,0)</f>
        <v>0</v>
      </c>
      <c r="BJ633" s="157" t="s">
        <v>99</v>
      </c>
      <c r="BK633" s="713">
        <f>ROUND(I633*H633,2)</f>
        <v>0</v>
      </c>
      <c r="BL633" s="157" t="s">
        <v>103</v>
      </c>
      <c r="BM633" s="668" t="s">
        <v>1316</v>
      </c>
    </row>
    <row r="634" spans="2:65" s="715" customFormat="1" ht="11.4" x14ac:dyDescent="0.25">
      <c r="B634" s="714"/>
      <c r="D634" s="716" t="s">
        <v>868</v>
      </c>
      <c r="E634" s="717" t="s">
        <v>725</v>
      </c>
      <c r="F634" s="718" t="s">
        <v>886</v>
      </c>
      <c r="H634" s="717" t="s">
        <v>725</v>
      </c>
      <c r="K634" s="719"/>
      <c r="L634" s="714"/>
      <c r="M634" s="720"/>
      <c r="T634" s="721"/>
      <c r="AT634" s="717" t="s">
        <v>868</v>
      </c>
      <c r="AU634" s="717" t="s">
        <v>101</v>
      </c>
      <c r="AV634" s="715" t="s">
        <v>99</v>
      </c>
      <c r="AW634" s="715" t="s">
        <v>870</v>
      </c>
      <c r="AX634" s="715" t="s">
        <v>301</v>
      </c>
      <c r="AY634" s="717" t="s">
        <v>863</v>
      </c>
    </row>
    <row r="635" spans="2:65" s="723" customFormat="1" ht="11.4" x14ac:dyDescent="0.25">
      <c r="B635" s="722"/>
      <c r="D635" s="716" t="s">
        <v>868</v>
      </c>
      <c r="E635" s="724" t="s">
        <v>725</v>
      </c>
      <c r="F635" s="725" t="s">
        <v>1317</v>
      </c>
      <c r="H635" s="726">
        <v>69.08</v>
      </c>
      <c r="K635" s="727"/>
      <c r="L635" s="722"/>
      <c r="M635" s="728"/>
      <c r="T635" s="729"/>
      <c r="AT635" s="724" t="s">
        <v>868</v>
      </c>
      <c r="AU635" s="724" t="s">
        <v>101</v>
      </c>
      <c r="AV635" s="723" t="s">
        <v>101</v>
      </c>
      <c r="AW635" s="723" t="s">
        <v>870</v>
      </c>
      <c r="AX635" s="723" t="s">
        <v>301</v>
      </c>
      <c r="AY635" s="724" t="s">
        <v>863</v>
      </c>
    </row>
    <row r="636" spans="2:65" s="731" customFormat="1" ht="11.4" x14ac:dyDescent="0.25">
      <c r="B636" s="730"/>
      <c r="D636" s="716" t="s">
        <v>868</v>
      </c>
      <c r="E636" s="732" t="s">
        <v>725</v>
      </c>
      <c r="F636" s="733" t="s">
        <v>873</v>
      </c>
      <c r="H636" s="734">
        <v>69.08</v>
      </c>
      <c r="K636" s="735"/>
      <c r="L636" s="730"/>
      <c r="M636" s="736"/>
      <c r="T636" s="737"/>
      <c r="AT636" s="732" t="s">
        <v>868</v>
      </c>
      <c r="AU636" s="732" t="s">
        <v>101</v>
      </c>
      <c r="AV636" s="731" t="s">
        <v>103</v>
      </c>
      <c r="AW636" s="731" t="s">
        <v>870</v>
      </c>
      <c r="AX636" s="731" t="s">
        <v>99</v>
      </c>
      <c r="AY636" s="732" t="s">
        <v>863</v>
      </c>
    </row>
    <row r="637" spans="2:65" s="163" customFormat="1" ht="25.95" customHeight="1" x14ac:dyDescent="0.25">
      <c r="B637" s="702"/>
      <c r="C637" s="703" t="s">
        <v>1318</v>
      </c>
      <c r="D637" s="703" t="s">
        <v>864</v>
      </c>
      <c r="E637" s="704" t="s">
        <v>1319</v>
      </c>
      <c r="F637" s="705" t="s">
        <v>1320</v>
      </c>
      <c r="G637" s="706" t="s">
        <v>15</v>
      </c>
      <c r="H637" s="707">
        <v>26</v>
      </c>
      <c r="I637" s="708"/>
      <c r="J637" s="708">
        <f>ROUND(I637*H637,2)</f>
        <v>0</v>
      </c>
      <c r="K637" s="705" t="s">
        <v>2622</v>
      </c>
      <c r="L637" s="164"/>
      <c r="M637" s="709" t="s">
        <v>725</v>
      </c>
      <c r="N637" s="710" t="s">
        <v>813</v>
      </c>
      <c r="O637" s="711">
        <v>0.11899999999999999</v>
      </c>
      <c r="P637" s="711">
        <f>O637*H637</f>
        <v>3.0939999999999999</v>
      </c>
      <c r="Q637" s="711">
        <v>1.6000000000000001E-3</v>
      </c>
      <c r="R637" s="711">
        <f>Q637*H637</f>
        <v>4.1600000000000005E-2</v>
      </c>
      <c r="S637" s="711">
        <v>0</v>
      </c>
      <c r="T637" s="712">
        <f>S637*H637</f>
        <v>0</v>
      </c>
      <c r="AR637" s="668" t="s">
        <v>103</v>
      </c>
      <c r="AT637" s="668" t="s">
        <v>864</v>
      </c>
      <c r="AU637" s="668" t="s">
        <v>101</v>
      </c>
      <c r="AY637" s="157" t="s">
        <v>863</v>
      </c>
      <c r="BE637" s="713">
        <f>IF(N637="základní",J637,0)</f>
        <v>0</v>
      </c>
      <c r="BF637" s="713">
        <f>IF(N637="snížená",J637,0)</f>
        <v>0</v>
      </c>
      <c r="BG637" s="713">
        <f>IF(N637="zákl. přenesená",J637,0)</f>
        <v>0</v>
      </c>
      <c r="BH637" s="713">
        <f>IF(N637="sníž. přenesená",J637,0)</f>
        <v>0</v>
      </c>
      <c r="BI637" s="713">
        <f>IF(N637="nulová",J637,0)</f>
        <v>0</v>
      </c>
      <c r="BJ637" s="157" t="s">
        <v>99</v>
      </c>
      <c r="BK637" s="713">
        <f>ROUND(I637*H637,2)</f>
        <v>0</v>
      </c>
      <c r="BL637" s="157" t="s">
        <v>103</v>
      </c>
      <c r="BM637" s="668" t="s">
        <v>1321</v>
      </c>
    </row>
    <row r="638" spans="2:65" s="715" customFormat="1" ht="11.4" x14ac:dyDescent="0.25">
      <c r="B638" s="714"/>
      <c r="D638" s="716" t="s">
        <v>868</v>
      </c>
      <c r="E638" s="717" t="s">
        <v>725</v>
      </c>
      <c r="F638" s="718" t="s">
        <v>1241</v>
      </c>
      <c r="H638" s="717" t="s">
        <v>725</v>
      </c>
      <c r="K638" s="719"/>
      <c r="L638" s="714"/>
      <c r="M638" s="720"/>
      <c r="T638" s="721"/>
      <c r="AT638" s="717" t="s">
        <v>868</v>
      </c>
      <c r="AU638" s="717" t="s">
        <v>101</v>
      </c>
      <c r="AV638" s="715" t="s">
        <v>99</v>
      </c>
      <c r="AW638" s="715" t="s">
        <v>870</v>
      </c>
      <c r="AX638" s="715" t="s">
        <v>301</v>
      </c>
      <c r="AY638" s="717" t="s">
        <v>863</v>
      </c>
    </row>
    <row r="639" spans="2:65" s="723" customFormat="1" ht="11.4" x14ac:dyDescent="0.25">
      <c r="B639" s="722"/>
      <c r="D639" s="716" t="s">
        <v>868</v>
      </c>
      <c r="E639" s="724" t="s">
        <v>725</v>
      </c>
      <c r="F639" s="725" t="s">
        <v>1322</v>
      </c>
      <c r="H639" s="726">
        <v>26</v>
      </c>
      <c r="K639" s="727"/>
      <c r="L639" s="722"/>
      <c r="M639" s="728"/>
      <c r="T639" s="729"/>
      <c r="AT639" s="724" t="s">
        <v>868</v>
      </c>
      <c r="AU639" s="724" t="s">
        <v>101</v>
      </c>
      <c r="AV639" s="723" t="s">
        <v>101</v>
      </c>
      <c r="AW639" s="723" t="s">
        <v>870</v>
      </c>
      <c r="AX639" s="723" t="s">
        <v>301</v>
      </c>
      <c r="AY639" s="724" t="s">
        <v>863</v>
      </c>
    </row>
    <row r="640" spans="2:65" s="731" customFormat="1" ht="11.4" x14ac:dyDescent="0.25">
      <c r="B640" s="730"/>
      <c r="D640" s="716" t="s">
        <v>868</v>
      </c>
      <c r="E640" s="732" t="s">
        <v>725</v>
      </c>
      <c r="F640" s="733" t="s">
        <v>873</v>
      </c>
      <c r="H640" s="734">
        <v>26</v>
      </c>
      <c r="K640" s="735"/>
      <c r="L640" s="730"/>
      <c r="M640" s="736"/>
      <c r="T640" s="737"/>
      <c r="AT640" s="732" t="s">
        <v>868</v>
      </c>
      <c r="AU640" s="732" t="s">
        <v>101</v>
      </c>
      <c r="AV640" s="731" t="s">
        <v>103</v>
      </c>
      <c r="AW640" s="731" t="s">
        <v>870</v>
      </c>
      <c r="AX640" s="731" t="s">
        <v>99</v>
      </c>
      <c r="AY640" s="732" t="s">
        <v>863</v>
      </c>
    </row>
    <row r="641" spans="2:65" s="163" customFormat="1" ht="14.4" customHeight="1" x14ac:dyDescent="0.25">
      <c r="B641" s="702"/>
      <c r="C641" s="703" t="s">
        <v>1323</v>
      </c>
      <c r="D641" s="703" t="s">
        <v>864</v>
      </c>
      <c r="E641" s="704" t="s">
        <v>1324</v>
      </c>
      <c r="F641" s="705" t="s">
        <v>1325</v>
      </c>
      <c r="G641" s="706" t="s">
        <v>140</v>
      </c>
      <c r="H641" s="707">
        <v>10.41</v>
      </c>
      <c r="I641" s="708"/>
      <c r="J641" s="708">
        <f>ROUND(I641*H641,2)</f>
        <v>0</v>
      </c>
      <c r="K641" s="705" t="s">
        <v>931</v>
      </c>
      <c r="L641" s="164"/>
      <c r="M641" s="709" t="s">
        <v>725</v>
      </c>
      <c r="N641" s="710" t="s">
        <v>813</v>
      </c>
      <c r="O641" s="711">
        <v>0.49399999999999999</v>
      </c>
      <c r="P641" s="711">
        <f>O641*H641</f>
        <v>5.1425400000000003</v>
      </c>
      <c r="Q641" s="711">
        <v>0.25866</v>
      </c>
      <c r="R641" s="711">
        <f>Q641*H641</f>
        <v>2.6926505999999999</v>
      </c>
      <c r="S641" s="711">
        <v>0</v>
      </c>
      <c r="T641" s="712">
        <f>S641*H641</f>
        <v>0</v>
      </c>
      <c r="AR641" s="668" t="s">
        <v>103</v>
      </c>
      <c r="AT641" s="668" t="s">
        <v>864</v>
      </c>
      <c r="AU641" s="668" t="s">
        <v>101</v>
      </c>
      <c r="AY641" s="157" t="s">
        <v>863</v>
      </c>
      <c r="BE641" s="713">
        <f>IF(N641="základní",J641,0)</f>
        <v>0</v>
      </c>
      <c r="BF641" s="713">
        <f>IF(N641="snížená",J641,0)</f>
        <v>0</v>
      </c>
      <c r="BG641" s="713">
        <f>IF(N641="zákl. přenesená",J641,0)</f>
        <v>0</v>
      </c>
      <c r="BH641" s="713">
        <f>IF(N641="sníž. přenesená",J641,0)</f>
        <v>0</v>
      </c>
      <c r="BI641" s="713">
        <f>IF(N641="nulová",J641,0)</f>
        <v>0</v>
      </c>
      <c r="BJ641" s="157" t="s">
        <v>99</v>
      </c>
      <c r="BK641" s="713">
        <f>ROUND(I641*H641,2)</f>
        <v>0</v>
      </c>
      <c r="BL641" s="157" t="s">
        <v>103</v>
      </c>
      <c r="BM641" s="668" t="s">
        <v>1326</v>
      </c>
    </row>
    <row r="642" spans="2:65" s="715" customFormat="1" ht="11.4" x14ac:dyDescent="0.25">
      <c r="B642" s="714"/>
      <c r="D642" s="716" t="s">
        <v>868</v>
      </c>
      <c r="E642" s="717" t="s">
        <v>725</v>
      </c>
      <c r="F642" s="718" t="s">
        <v>1241</v>
      </c>
      <c r="H642" s="717" t="s">
        <v>725</v>
      </c>
      <c r="K642" s="719"/>
      <c r="L642" s="714"/>
      <c r="M642" s="720"/>
      <c r="T642" s="721"/>
      <c r="AT642" s="717" t="s">
        <v>868</v>
      </c>
      <c r="AU642" s="717" t="s">
        <v>101</v>
      </c>
      <c r="AV642" s="715" t="s">
        <v>99</v>
      </c>
      <c r="AW642" s="715" t="s">
        <v>870</v>
      </c>
      <c r="AX642" s="715" t="s">
        <v>301</v>
      </c>
      <c r="AY642" s="717" t="s">
        <v>863</v>
      </c>
    </row>
    <row r="643" spans="2:65" s="723" customFormat="1" ht="11.4" x14ac:dyDescent="0.25">
      <c r="B643" s="722"/>
      <c r="D643" s="716" t="s">
        <v>868</v>
      </c>
      <c r="E643" s="724" t="s">
        <v>725</v>
      </c>
      <c r="F643" s="725" t="s">
        <v>1327</v>
      </c>
      <c r="H643" s="726">
        <v>5.41</v>
      </c>
      <c r="K643" s="727"/>
      <c r="L643" s="722"/>
      <c r="M643" s="728"/>
      <c r="T643" s="729"/>
      <c r="AT643" s="724" t="s">
        <v>868</v>
      </c>
      <c r="AU643" s="724" t="s">
        <v>101</v>
      </c>
      <c r="AV643" s="723" t="s">
        <v>101</v>
      </c>
      <c r="AW643" s="723" t="s">
        <v>870</v>
      </c>
      <c r="AX643" s="723" t="s">
        <v>301</v>
      </c>
      <c r="AY643" s="724" t="s">
        <v>863</v>
      </c>
    </row>
    <row r="644" spans="2:65" s="723" customFormat="1" ht="11.4" x14ac:dyDescent="0.25">
      <c r="B644" s="722"/>
      <c r="D644" s="716" t="s">
        <v>868</v>
      </c>
      <c r="E644" s="724" t="s">
        <v>725</v>
      </c>
      <c r="F644" s="725" t="s">
        <v>1328</v>
      </c>
      <c r="H644" s="726">
        <v>5</v>
      </c>
      <c r="K644" s="727"/>
      <c r="L644" s="722"/>
      <c r="M644" s="728"/>
      <c r="T644" s="729"/>
      <c r="AT644" s="724" t="s">
        <v>868</v>
      </c>
      <c r="AU644" s="724" t="s">
        <v>101</v>
      </c>
      <c r="AV644" s="723" t="s">
        <v>101</v>
      </c>
      <c r="AW644" s="723" t="s">
        <v>870</v>
      </c>
      <c r="AX644" s="723" t="s">
        <v>301</v>
      </c>
      <c r="AY644" s="724" t="s">
        <v>863</v>
      </c>
    </row>
    <row r="645" spans="2:65" s="731" customFormat="1" ht="11.4" x14ac:dyDescent="0.25">
      <c r="B645" s="730"/>
      <c r="D645" s="716" t="s">
        <v>868</v>
      </c>
      <c r="E645" s="732" t="s">
        <v>725</v>
      </c>
      <c r="F645" s="733" t="s">
        <v>873</v>
      </c>
      <c r="H645" s="734">
        <v>10.41</v>
      </c>
      <c r="K645" s="735"/>
      <c r="L645" s="730"/>
      <c r="M645" s="736"/>
      <c r="T645" s="737"/>
      <c r="AT645" s="732" t="s">
        <v>868</v>
      </c>
      <c r="AU645" s="732" t="s">
        <v>101</v>
      </c>
      <c r="AV645" s="731" t="s">
        <v>103</v>
      </c>
      <c r="AW645" s="731" t="s">
        <v>870</v>
      </c>
      <c r="AX645" s="731" t="s">
        <v>99</v>
      </c>
      <c r="AY645" s="732" t="s">
        <v>863</v>
      </c>
    </row>
    <row r="646" spans="2:65" s="163" customFormat="1" ht="14.4" customHeight="1" x14ac:dyDescent="0.25">
      <c r="B646" s="702"/>
      <c r="C646" s="703" t="s">
        <v>1329</v>
      </c>
      <c r="D646" s="703" t="s">
        <v>864</v>
      </c>
      <c r="E646" s="704" t="s">
        <v>1330</v>
      </c>
      <c r="F646" s="705" t="s">
        <v>1331</v>
      </c>
      <c r="G646" s="706" t="s">
        <v>140</v>
      </c>
      <c r="H646" s="707">
        <v>5</v>
      </c>
      <c r="I646" s="708"/>
      <c r="J646" s="708">
        <f>ROUND(I646*H646,2)</f>
        <v>0</v>
      </c>
      <c r="K646" s="705" t="s">
        <v>931</v>
      </c>
      <c r="L646" s="164"/>
      <c r="M646" s="709" t="s">
        <v>725</v>
      </c>
      <c r="N646" s="710" t="s">
        <v>813</v>
      </c>
      <c r="O646" s="711">
        <v>0.49399999999999999</v>
      </c>
      <c r="P646" s="711">
        <f>O646*H646</f>
        <v>2.4699999999999998</v>
      </c>
      <c r="Q646" s="711">
        <v>0.25866</v>
      </c>
      <c r="R646" s="711">
        <f>Q646*H646</f>
        <v>1.2932999999999999</v>
      </c>
      <c r="S646" s="711">
        <v>0</v>
      </c>
      <c r="T646" s="712">
        <f>S646*H646</f>
        <v>0</v>
      </c>
      <c r="AR646" s="668" t="s">
        <v>103</v>
      </c>
      <c r="AT646" s="668" t="s">
        <v>864</v>
      </c>
      <c r="AU646" s="668" t="s">
        <v>101</v>
      </c>
      <c r="AY646" s="157" t="s">
        <v>863</v>
      </c>
      <c r="BE646" s="713">
        <f>IF(N646="základní",J646,0)</f>
        <v>0</v>
      </c>
      <c r="BF646" s="713">
        <f>IF(N646="snížená",J646,0)</f>
        <v>0</v>
      </c>
      <c r="BG646" s="713">
        <f>IF(N646="zákl. přenesená",J646,0)</f>
        <v>0</v>
      </c>
      <c r="BH646" s="713">
        <f>IF(N646="sníž. přenesená",J646,0)</f>
        <v>0</v>
      </c>
      <c r="BI646" s="713">
        <f>IF(N646="nulová",J646,0)</f>
        <v>0</v>
      </c>
      <c r="BJ646" s="157" t="s">
        <v>99</v>
      </c>
      <c r="BK646" s="713">
        <f>ROUND(I646*H646,2)</f>
        <v>0</v>
      </c>
      <c r="BL646" s="157" t="s">
        <v>103</v>
      </c>
      <c r="BM646" s="668" t="s">
        <v>1332</v>
      </c>
    </row>
    <row r="647" spans="2:65" s="715" customFormat="1" ht="11.4" x14ac:dyDescent="0.25">
      <c r="B647" s="714"/>
      <c r="D647" s="716" t="s">
        <v>868</v>
      </c>
      <c r="E647" s="717" t="s">
        <v>725</v>
      </c>
      <c r="F647" s="718" t="s">
        <v>1241</v>
      </c>
      <c r="H647" s="717" t="s">
        <v>725</v>
      </c>
      <c r="K647" s="719"/>
      <c r="L647" s="714"/>
      <c r="M647" s="720"/>
      <c r="T647" s="721"/>
      <c r="AT647" s="717" t="s">
        <v>868</v>
      </c>
      <c r="AU647" s="717" t="s">
        <v>101</v>
      </c>
      <c r="AV647" s="715" t="s">
        <v>99</v>
      </c>
      <c r="AW647" s="715" t="s">
        <v>870</v>
      </c>
      <c r="AX647" s="715" t="s">
        <v>301</v>
      </c>
      <c r="AY647" s="717" t="s">
        <v>863</v>
      </c>
    </row>
    <row r="648" spans="2:65" s="723" customFormat="1" ht="11.4" x14ac:dyDescent="0.25">
      <c r="B648" s="722"/>
      <c r="D648" s="716" t="s">
        <v>868</v>
      </c>
      <c r="E648" s="724" t="s">
        <v>725</v>
      </c>
      <c r="F648" s="725" t="s">
        <v>1328</v>
      </c>
      <c r="H648" s="726">
        <v>5</v>
      </c>
      <c r="K648" s="727"/>
      <c r="L648" s="722"/>
      <c r="M648" s="728"/>
      <c r="T648" s="729"/>
      <c r="AT648" s="724" t="s">
        <v>868</v>
      </c>
      <c r="AU648" s="724" t="s">
        <v>101</v>
      </c>
      <c r="AV648" s="723" t="s">
        <v>101</v>
      </c>
      <c r="AW648" s="723" t="s">
        <v>870</v>
      </c>
      <c r="AX648" s="723" t="s">
        <v>301</v>
      </c>
      <c r="AY648" s="724" t="s">
        <v>863</v>
      </c>
    </row>
    <row r="649" spans="2:65" s="731" customFormat="1" ht="11.4" x14ac:dyDescent="0.25">
      <c r="B649" s="730"/>
      <c r="D649" s="716" t="s">
        <v>868</v>
      </c>
      <c r="E649" s="732" t="s">
        <v>725</v>
      </c>
      <c r="F649" s="733" t="s">
        <v>873</v>
      </c>
      <c r="H649" s="734">
        <v>5</v>
      </c>
      <c r="K649" s="735"/>
      <c r="L649" s="730"/>
      <c r="M649" s="736"/>
      <c r="T649" s="737"/>
      <c r="AT649" s="732" t="s">
        <v>868</v>
      </c>
      <c r="AU649" s="732" t="s">
        <v>101</v>
      </c>
      <c r="AV649" s="731" t="s">
        <v>103</v>
      </c>
      <c r="AW649" s="731" t="s">
        <v>870</v>
      </c>
      <c r="AX649" s="731" t="s">
        <v>99</v>
      </c>
      <c r="AY649" s="732" t="s">
        <v>863</v>
      </c>
    </row>
    <row r="650" spans="2:65" s="163" customFormat="1" ht="39" customHeight="1" x14ac:dyDescent="0.25">
      <c r="B650" s="702"/>
      <c r="C650" s="703" t="s">
        <v>1333</v>
      </c>
      <c r="D650" s="703" t="s">
        <v>864</v>
      </c>
      <c r="E650" s="704" t="s">
        <v>1334</v>
      </c>
      <c r="F650" s="705" t="s">
        <v>1335</v>
      </c>
      <c r="G650" s="706" t="s">
        <v>140</v>
      </c>
      <c r="H650" s="707">
        <v>244.63900000000001</v>
      </c>
      <c r="I650" s="708"/>
      <c r="J650" s="708">
        <f>ROUND(I650*H650,2)</f>
        <v>0</v>
      </c>
      <c r="K650" s="705" t="s">
        <v>2622</v>
      </c>
      <c r="L650" s="164"/>
      <c r="M650" s="709" t="s">
        <v>725</v>
      </c>
      <c r="N650" s="710" t="s">
        <v>813</v>
      </c>
      <c r="O650" s="711">
        <v>0.13600000000000001</v>
      </c>
      <c r="P650" s="711">
        <f>O650*H650</f>
        <v>33.270904000000002</v>
      </c>
      <c r="Q650" s="711">
        <v>8.0879999999999994E-2</v>
      </c>
      <c r="R650" s="711">
        <f>Q650*H650</f>
        <v>19.786402320000001</v>
      </c>
      <c r="S650" s="711">
        <v>0</v>
      </c>
      <c r="T650" s="712">
        <f>S650*H650</f>
        <v>0</v>
      </c>
      <c r="AR650" s="668" t="s">
        <v>103</v>
      </c>
      <c r="AT650" s="668" t="s">
        <v>864</v>
      </c>
      <c r="AU650" s="668" t="s">
        <v>101</v>
      </c>
      <c r="AY650" s="157" t="s">
        <v>863</v>
      </c>
      <c r="BE650" s="713">
        <f>IF(N650="základní",J650,0)</f>
        <v>0</v>
      </c>
      <c r="BF650" s="713">
        <f>IF(N650="snížená",J650,0)</f>
        <v>0</v>
      </c>
      <c r="BG650" s="713">
        <f>IF(N650="zákl. přenesená",J650,0)</f>
        <v>0</v>
      </c>
      <c r="BH650" s="713">
        <f>IF(N650="sníž. přenesená",J650,0)</f>
        <v>0</v>
      </c>
      <c r="BI650" s="713">
        <f>IF(N650="nulová",J650,0)</f>
        <v>0</v>
      </c>
      <c r="BJ650" s="157" t="s">
        <v>99</v>
      </c>
      <c r="BK650" s="713">
        <f>ROUND(I650*H650,2)</f>
        <v>0</v>
      </c>
      <c r="BL650" s="157" t="s">
        <v>103</v>
      </c>
      <c r="BM650" s="668" t="s">
        <v>1336</v>
      </c>
    </row>
    <row r="651" spans="2:65" s="715" customFormat="1" ht="11.4" x14ac:dyDescent="0.25">
      <c r="B651" s="714"/>
      <c r="D651" s="716" t="s">
        <v>868</v>
      </c>
      <c r="E651" s="717" t="s">
        <v>725</v>
      </c>
      <c r="F651" s="718" t="s">
        <v>881</v>
      </c>
      <c r="H651" s="717" t="s">
        <v>725</v>
      </c>
      <c r="K651" s="719"/>
      <c r="L651" s="714"/>
      <c r="M651" s="720"/>
      <c r="T651" s="721"/>
      <c r="AT651" s="717" t="s">
        <v>868</v>
      </c>
      <c r="AU651" s="717" t="s">
        <v>101</v>
      </c>
      <c r="AV651" s="715" t="s">
        <v>99</v>
      </c>
      <c r="AW651" s="715" t="s">
        <v>870</v>
      </c>
      <c r="AX651" s="715" t="s">
        <v>301</v>
      </c>
      <c r="AY651" s="717" t="s">
        <v>863</v>
      </c>
    </row>
    <row r="652" spans="2:65" s="715" customFormat="1" ht="11.4" x14ac:dyDescent="0.25">
      <c r="B652" s="714"/>
      <c r="D652" s="716" t="s">
        <v>868</v>
      </c>
      <c r="E652" s="717" t="s">
        <v>725</v>
      </c>
      <c r="F652" s="718" t="s">
        <v>869</v>
      </c>
      <c r="H652" s="717" t="s">
        <v>725</v>
      </c>
      <c r="K652" s="719"/>
      <c r="L652" s="714"/>
      <c r="M652" s="720"/>
      <c r="T652" s="721"/>
      <c r="AT652" s="717" t="s">
        <v>868</v>
      </c>
      <c r="AU652" s="717" t="s">
        <v>101</v>
      </c>
      <c r="AV652" s="715" t="s">
        <v>99</v>
      </c>
      <c r="AW652" s="715" t="s">
        <v>870</v>
      </c>
      <c r="AX652" s="715" t="s">
        <v>301</v>
      </c>
      <c r="AY652" s="717" t="s">
        <v>863</v>
      </c>
    </row>
    <row r="653" spans="2:65" s="723" customFormat="1" ht="11.4" x14ac:dyDescent="0.25">
      <c r="B653" s="722"/>
      <c r="D653" s="716" t="s">
        <v>868</v>
      </c>
      <c r="E653" s="724" t="s">
        <v>725</v>
      </c>
      <c r="F653" s="725" t="s">
        <v>1337</v>
      </c>
      <c r="H653" s="726">
        <v>8.6</v>
      </c>
      <c r="K653" s="727"/>
      <c r="L653" s="722"/>
      <c r="M653" s="728"/>
      <c r="T653" s="729"/>
      <c r="AT653" s="724" t="s">
        <v>868</v>
      </c>
      <c r="AU653" s="724" t="s">
        <v>101</v>
      </c>
      <c r="AV653" s="723" t="s">
        <v>101</v>
      </c>
      <c r="AW653" s="723" t="s">
        <v>870</v>
      </c>
      <c r="AX653" s="723" t="s">
        <v>301</v>
      </c>
      <c r="AY653" s="724" t="s">
        <v>863</v>
      </c>
    </row>
    <row r="654" spans="2:65" s="723" customFormat="1" ht="11.4" x14ac:dyDescent="0.25">
      <c r="B654" s="722"/>
      <c r="D654" s="716" t="s">
        <v>868</v>
      </c>
      <c r="E654" s="724" t="s">
        <v>725</v>
      </c>
      <c r="F654" s="725" t="s">
        <v>1338</v>
      </c>
      <c r="H654" s="726">
        <v>52.15</v>
      </c>
      <c r="K654" s="727"/>
      <c r="L654" s="722"/>
      <c r="M654" s="728"/>
      <c r="T654" s="729"/>
      <c r="AT654" s="724" t="s">
        <v>868</v>
      </c>
      <c r="AU654" s="724" t="s">
        <v>101</v>
      </c>
      <c r="AV654" s="723" t="s">
        <v>101</v>
      </c>
      <c r="AW654" s="723" t="s">
        <v>870</v>
      </c>
      <c r="AX654" s="723" t="s">
        <v>301</v>
      </c>
      <c r="AY654" s="724" t="s">
        <v>863</v>
      </c>
    </row>
    <row r="655" spans="2:65" s="723" customFormat="1" ht="11.4" x14ac:dyDescent="0.25">
      <c r="B655" s="722"/>
      <c r="D655" s="716" t="s">
        <v>868</v>
      </c>
      <c r="E655" s="724" t="s">
        <v>725</v>
      </c>
      <c r="F655" s="725" t="s">
        <v>1339</v>
      </c>
      <c r="H655" s="726">
        <v>25.789000000000001</v>
      </c>
      <c r="K655" s="727"/>
      <c r="L655" s="722"/>
      <c r="M655" s="728"/>
      <c r="T655" s="729"/>
      <c r="AT655" s="724" t="s">
        <v>868</v>
      </c>
      <c r="AU655" s="724" t="s">
        <v>101</v>
      </c>
      <c r="AV655" s="723" t="s">
        <v>101</v>
      </c>
      <c r="AW655" s="723" t="s">
        <v>870</v>
      </c>
      <c r="AX655" s="723" t="s">
        <v>301</v>
      </c>
      <c r="AY655" s="724" t="s">
        <v>863</v>
      </c>
    </row>
    <row r="656" spans="2:65" s="723" customFormat="1" ht="11.4" x14ac:dyDescent="0.25">
      <c r="B656" s="722"/>
      <c r="D656" s="716" t="s">
        <v>868</v>
      </c>
      <c r="E656" s="724" t="s">
        <v>725</v>
      </c>
      <c r="F656" s="725" t="s">
        <v>1340</v>
      </c>
      <c r="H656" s="726">
        <v>6.65</v>
      </c>
      <c r="K656" s="727"/>
      <c r="L656" s="722"/>
      <c r="M656" s="728"/>
      <c r="T656" s="729"/>
      <c r="AT656" s="724" t="s">
        <v>868</v>
      </c>
      <c r="AU656" s="724" t="s">
        <v>101</v>
      </c>
      <c r="AV656" s="723" t="s">
        <v>101</v>
      </c>
      <c r="AW656" s="723" t="s">
        <v>870</v>
      </c>
      <c r="AX656" s="723" t="s">
        <v>301</v>
      </c>
      <c r="AY656" s="724" t="s">
        <v>863</v>
      </c>
    </row>
    <row r="657" spans="2:65" s="723" customFormat="1" ht="11.4" x14ac:dyDescent="0.25">
      <c r="B657" s="722"/>
      <c r="D657" s="716" t="s">
        <v>868</v>
      </c>
      <c r="E657" s="724" t="s">
        <v>725</v>
      </c>
      <c r="F657" s="725" t="s">
        <v>1341</v>
      </c>
      <c r="H657" s="726">
        <v>52.95</v>
      </c>
      <c r="K657" s="727"/>
      <c r="L657" s="722"/>
      <c r="M657" s="728"/>
      <c r="T657" s="729"/>
      <c r="AT657" s="724" t="s">
        <v>868</v>
      </c>
      <c r="AU657" s="724" t="s">
        <v>101</v>
      </c>
      <c r="AV657" s="723" t="s">
        <v>101</v>
      </c>
      <c r="AW657" s="723" t="s">
        <v>870</v>
      </c>
      <c r="AX657" s="723" t="s">
        <v>301</v>
      </c>
      <c r="AY657" s="724" t="s">
        <v>863</v>
      </c>
    </row>
    <row r="658" spans="2:65" s="723" customFormat="1" ht="11.4" x14ac:dyDescent="0.25">
      <c r="B658" s="722"/>
      <c r="D658" s="716" t="s">
        <v>868</v>
      </c>
      <c r="E658" s="724" t="s">
        <v>725</v>
      </c>
      <c r="F658" s="725" t="s">
        <v>1342</v>
      </c>
      <c r="H658" s="726">
        <v>98.5</v>
      </c>
      <c r="K658" s="727"/>
      <c r="L658" s="722"/>
      <c r="M658" s="728"/>
      <c r="T658" s="729"/>
      <c r="AT658" s="724" t="s">
        <v>868</v>
      </c>
      <c r="AU658" s="724" t="s">
        <v>101</v>
      </c>
      <c r="AV658" s="723" t="s">
        <v>101</v>
      </c>
      <c r="AW658" s="723" t="s">
        <v>870</v>
      </c>
      <c r="AX658" s="723" t="s">
        <v>301</v>
      </c>
      <c r="AY658" s="724" t="s">
        <v>863</v>
      </c>
    </row>
    <row r="659" spans="2:65" s="731" customFormat="1" ht="11.4" x14ac:dyDescent="0.25">
      <c r="B659" s="730"/>
      <c r="D659" s="716" t="s">
        <v>868</v>
      </c>
      <c r="E659" s="732" t="s">
        <v>725</v>
      </c>
      <c r="F659" s="733" t="s">
        <v>873</v>
      </c>
      <c r="H659" s="734">
        <v>244.63900000000001</v>
      </c>
      <c r="K659" s="735"/>
      <c r="L659" s="730"/>
      <c r="M659" s="736"/>
      <c r="T659" s="737"/>
      <c r="AT659" s="732" t="s">
        <v>868</v>
      </c>
      <c r="AU659" s="732" t="s">
        <v>101</v>
      </c>
      <c r="AV659" s="731" t="s">
        <v>103</v>
      </c>
      <c r="AW659" s="731" t="s">
        <v>870</v>
      </c>
      <c r="AX659" s="731" t="s">
        <v>99</v>
      </c>
      <c r="AY659" s="732" t="s">
        <v>863</v>
      </c>
    </row>
    <row r="660" spans="2:65" s="163" customFormat="1" ht="14.4" customHeight="1" x14ac:dyDescent="0.25">
      <c r="B660" s="702"/>
      <c r="C660" s="738" t="s">
        <v>696</v>
      </c>
      <c r="D660" s="738" t="s">
        <v>298</v>
      </c>
      <c r="E660" s="739" t="s">
        <v>1343</v>
      </c>
      <c r="F660" s="740" t="s">
        <v>1344</v>
      </c>
      <c r="G660" s="741" t="s">
        <v>15</v>
      </c>
      <c r="H660" s="742">
        <v>2.2149999999999999</v>
      </c>
      <c r="I660" s="743"/>
      <c r="J660" s="743">
        <f>ROUND(I660*H660,2)</f>
        <v>0</v>
      </c>
      <c r="K660" s="740" t="s">
        <v>931</v>
      </c>
      <c r="L660" s="744"/>
      <c r="M660" s="745" t="s">
        <v>725</v>
      </c>
      <c r="N660" s="746" t="s">
        <v>813</v>
      </c>
      <c r="O660" s="711">
        <v>0</v>
      </c>
      <c r="P660" s="711">
        <f>O660*H660</f>
        <v>0</v>
      </c>
      <c r="Q660" s="711">
        <v>0.156</v>
      </c>
      <c r="R660" s="711">
        <f>Q660*H660</f>
        <v>0.34553999999999996</v>
      </c>
      <c r="S660" s="711">
        <v>0</v>
      </c>
      <c r="T660" s="712">
        <f>S660*H660</f>
        <v>0</v>
      </c>
      <c r="AR660" s="668" t="s">
        <v>111</v>
      </c>
      <c r="AT660" s="668" t="s">
        <v>298</v>
      </c>
      <c r="AU660" s="668" t="s">
        <v>101</v>
      </c>
      <c r="AY660" s="157" t="s">
        <v>863</v>
      </c>
      <c r="BE660" s="713">
        <f>IF(N660="základní",J660,0)</f>
        <v>0</v>
      </c>
      <c r="BF660" s="713">
        <f>IF(N660="snížená",J660,0)</f>
        <v>0</v>
      </c>
      <c r="BG660" s="713">
        <f>IF(N660="zákl. přenesená",J660,0)</f>
        <v>0</v>
      </c>
      <c r="BH660" s="713">
        <f>IF(N660="sníž. přenesená",J660,0)</f>
        <v>0</v>
      </c>
      <c r="BI660" s="713">
        <f>IF(N660="nulová",J660,0)</f>
        <v>0</v>
      </c>
      <c r="BJ660" s="157" t="s">
        <v>99</v>
      </c>
      <c r="BK660" s="713">
        <f>ROUND(I660*H660,2)</f>
        <v>0</v>
      </c>
      <c r="BL660" s="157" t="s">
        <v>103</v>
      </c>
      <c r="BM660" s="668" t="s">
        <v>1345</v>
      </c>
    </row>
    <row r="661" spans="2:65" s="723" customFormat="1" ht="11.4" x14ac:dyDescent="0.25">
      <c r="B661" s="722"/>
      <c r="D661" s="716" t="s">
        <v>868</v>
      </c>
      <c r="E661" s="724" t="s">
        <v>725</v>
      </c>
      <c r="F661" s="725" t="s">
        <v>1346</v>
      </c>
      <c r="H661" s="726">
        <v>2.15</v>
      </c>
      <c r="K661" s="727"/>
      <c r="L661" s="722"/>
      <c r="M661" s="728"/>
      <c r="T661" s="729"/>
      <c r="AT661" s="724" t="s">
        <v>868</v>
      </c>
      <c r="AU661" s="724" t="s">
        <v>101</v>
      </c>
      <c r="AV661" s="723" t="s">
        <v>101</v>
      </c>
      <c r="AW661" s="723" t="s">
        <v>870</v>
      </c>
      <c r="AX661" s="723" t="s">
        <v>99</v>
      </c>
      <c r="AY661" s="724" t="s">
        <v>863</v>
      </c>
    </row>
    <row r="662" spans="2:65" s="723" customFormat="1" ht="11.4" x14ac:dyDescent="0.25">
      <c r="B662" s="722"/>
      <c r="D662" s="716" t="s">
        <v>868</v>
      </c>
      <c r="F662" s="725" t="s">
        <v>1347</v>
      </c>
      <c r="H662" s="726">
        <v>2.2149999999999999</v>
      </c>
      <c r="K662" s="727"/>
      <c r="L662" s="722"/>
      <c r="M662" s="728"/>
      <c r="T662" s="729"/>
      <c r="AT662" s="724" t="s">
        <v>868</v>
      </c>
      <c r="AU662" s="724" t="s">
        <v>101</v>
      </c>
      <c r="AV662" s="723" t="s">
        <v>101</v>
      </c>
      <c r="AW662" s="723" t="s">
        <v>699</v>
      </c>
      <c r="AX662" s="723" t="s">
        <v>99</v>
      </c>
      <c r="AY662" s="724" t="s">
        <v>863</v>
      </c>
    </row>
    <row r="663" spans="2:65" s="163" customFormat="1" ht="14.4" customHeight="1" x14ac:dyDescent="0.25">
      <c r="B663" s="702"/>
      <c r="C663" s="738" t="s">
        <v>1348</v>
      </c>
      <c r="D663" s="738" t="s">
        <v>298</v>
      </c>
      <c r="E663" s="739" t="s">
        <v>1349</v>
      </c>
      <c r="F663" s="740" t="s">
        <v>1350</v>
      </c>
      <c r="G663" s="741" t="s">
        <v>15</v>
      </c>
      <c r="H663" s="742">
        <v>2.524</v>
      </c>
      <c r="I663" s="743"/>
      <c r="J663" s="743">
        <f>ROUND(I663*H663,2)</f>
        <v>0</v>
      </c>
      <c r="K663" s="740" t="s">
        <v>931</v>
      </c>
      <c r="L663" s="744"/>
      <c r="M663" s="745" t="s">
        <v>725</v>
      </c>
      <c r="N663" s="746" t="s">
        <v>813</v>
      </c>
      <c r="O663" s="711">
        <v>0</v>
      </c>
      <c r="P663" s="711">
        <f>O663*H663</f>
        <v>0</v>
      </c>
      <c r="Q663" s="711">
        <v>0.17599999999999999</v>
      </c>
      <c r="R663" s="711">
        <f>Q663*H663</f>
        <v>0.44422399999999995</v>
      </c>
      <c r="S663" s="711">
        <v>0</v>
      </c>
      <c r="T663" s="712">
        <f>S663*H663</f>
        <v>0</v>
      </c>
      <c r="AR663" s="668" t="s">
        <v>111</v>
      </c>
      <c r="AT663" s="668" t="s">
        <v>298</v>
      </c>
      <c r="AU663" s="668" t="s">
        <v>101</v>
      </c>
      <c r="AY663" s="157" t="s">
        <v>863</v>
      </c>
      <c r="BE663" s="713">
        <f>IF(N663="základní",J663,0)</f>
        <v>0</v>
      </c>
      <c r="BF663" s="713">
        <f>IF(N663="snížená",J663,0)</f>
        <v>0</v>
      </c>
      <c r="BG663" s="713">
        <f>IF(N663="zákl. přenesená",J663,0)</f>
        <v>0</v>
      </c>
      <c r="BH663" s="713">
        <f>IF(N663="sníž. přenesená",J663,0)</f>
        <v>0</v>
      </c>
      <c r="BI663" s="713">
        <f>IF(N663="nulová",J663,0)</f>
        <v>0</v>
      </c>
      <c r="BJ663" s="157" t="s">
        <v>99</v>
      </c>
      <c r="BK663" s="713">
        <f>ROUND(I663*H663,2)</f>
        <v>0</v>
      </c>
      <c r="BL663" s="157" t="s">
        <v>103</v>
      </c>
      <c r="BM663" s="668" t="s">
        <v>1351</v>
      </c>
    </row>
    <row r="664" spans="2:65" s="723" customFormat="1" ht="11.4" x14ac:dyDescent="0.25">
      <c r="B664" s="722"/>
      <c r="D664" s="716" t="s">
        <v>868</v>
      </c>
      <c r="E664" s="724" t="s">
        <v>725</v>
      </c>
      <c r="F664" s="725" t="s">
        <v>790</v>
      </c>
      <c r="H664" s="726">
        <v>2.4500000000000002</v>
      </c>
      <c r="K664" s="727"/>
      <c r="L664" s="722"/>
      <c r="M664" s="728"/>
      <c r="T664" s="729"/>
      <c r="AT664" s="724" t="s">
        <v>868</v>
      </c>
      <c r="AU664" s="724" t="s">
        <v>101</v>
      </c>
      <c r="AV664" s="723" t="s">
        <v>101</v>
      </c>
      <c r="AW664" s="723" t="s">
        <v>870</v>
      </c>
      <c r="AX664" s="723" t="s">
        <v>99</v>
      </c>
      <c r="AY664" s="724" t="s">
        <v>863</v>
      </c>
    </row>
    <row r="665" spans="2:65" s="723" customFormat="1" ht="11.4" x14ac:dyDescent="0.25">
      <c r="B665" s="722"/>
      <c r="D665" s="716" t="s">
        <v>868</v>
      </c>
      <c r="F665" s="725" t="s">
        <v>1352</v>
      </c>
      <c r="H665" s="726">
        <v>2.524</v>
      </c>
      <c r="K665" s="727"/>
      <c r="L665" s="722"/>
      <c r="M665" s="728"/>
      <c r="T665" s="729"/>
      <c r="AT665" s="724" t="s">
        <v>868</v>
      </c>
      <c r="AU665" s="724" t="s">
        <v>101</v>
      </c>
      <c r="AV665" s="723" t="s">
        <v>101</v>
      </c>
      <c r="AW665" s="723" t="s">
        <v>699</v>
      </c>
      <c r="AX665" s="723" t="s">
        <v>99</v>
      </c>
      <c r="AY665" s="724" t="s">
        <v>863</v>
      </c>
    </row>
    <row r="666" spans="2:65" s="163" customFormat="1" ht="14.4" customHeight="1" x14ac:dyDescent="0.25">
      <c r="B666" s="702"/>
      <c r="C666" s="738" t="s">
        <v>1353</v>
      </c>
      <c r="D666" s="738" t="s">
        <v>298</v>
      </c>
      <c r="E666" s="739" t="s">
        <v>1354</v>
      </c>
      <c r="F666" s="740" t="s">
        <v>1355</v>
      </c>
      <c r="G666" s="741" t="s">
        <v>15</v>
      </c>
      <c r="H666" s="742">
        <v>43.311999999999998</v>
      </c>
      <c r="I666" s="743"/>
      <c r="J666" s="743">
        <f>ROUND(I666*H666,2)</f>
        <v>0</v>
      </c>
      <c r="K666" s="740" t="s">
        <v>931</v>
      </c>
      <c r="L666" s="744"/>
      <c r="M666" s="745" t="s">
        <v>725</v>
      </c>
      <c r="N666" s="746" t="s">
        <v>813</v>
      </c>
      <c r="O666" s="711">
        <v>0</v>
      </c>
      <c r="P666" s="711">
        <f>O666*H666</f>
        <v>0</v>
      </c>
      <c r="Q666" s="711">
        <v>0.15</v>
      </c>
      <c r="R666" s="711">
        <f>Q666*H666</f>
        <v>6.4967999999999995</v>
      </c>
      <c r="S666" s="711">
        <v>0</v>
      </c>
      <c r="T666" s="712">
        <f>S666*H666</f>
        <v>0</v>
      </c>
      <c r="AR666" s="668" t="s">
        <v>111</v>
      </c>
      <c r="AT666" s="668" t="s">
        <v>298</v>
      </c>
      <c r="AU666" s="668" t="s">
        <v>101</v>
      </c>
      <c r="AY666" s="157" t="s">
        <v>863</v>
      </c>
      <c r="BE666" s="713">
        <f>IF(N666="základní",J666,0)</f>
        <v>0</v>
      </c>
      <c r="BF666" s="713">
        <f>IF(N666="snížená",J666,0)</f>
        <v>0</v>
      </c>
      <c r="BG666" s="713">
        <f>IF(N666="zákl. přenesená",J666,0)</f>
        <v>0</v>
      </c>
      <c r="BH666" s="713">
        <f>IF(N666="sníž. přenesená",J666,0)</f>
        <v>0</v>
      </c>
      <c r="BI666" s="713">
        <f>IF(N666="nulová",J666,0)</f>
        <v>0</v>
      </c>
      <c r="BJ666" s="157" t="s">
        <v>99</v>
      </c>
      <c r="BK666" s="713">
        <f>ROUND(I666*H666,2)</f>
        <v>0</v>
      </c>
      <c r="BL666" s="157" t="s">
        <v>103</v>
      </c>
      <c r="BM666" s="668" t="s">
        <v>1356</v>
      </c>
    </row>
    <row r="667" spans="2:65" s="723" customFormat="1" ht="11.4" x14ac:dyDescent="0.25">
      <c r="B667" s="722"/>
      <c r="D667" s="716" t="s">
        <v>868</v>
      </c>
      <c r="E667" s="724" t="s">
        <v>725</v>
      </c>
      <c r="F667" s="725" t="s">
        <v>786</v>
      </c>
      <c r="H667" s="726">
        <v>10.43</v>
      </c>
      <c r="K667" s="727"/>
      <c r="L667" s="722"/>
      <c r="M667" s="728"/>
      <c r="T667" s="729"/>
      <c r="AT667" s="724" t="s">
        <v>868</v>
      </c>
      <c r="AU667" s="724" t="s">
        <v>101</v>
      </c>
      <c r="AV667" s="723" t="s">
        <v>101</v>
      </c>
      <c r="AW667" s="723" t="s">
        <v>870</v>
      </c>
      <c r="AX667" s="723" t="s">
        <v>301</v>
      </c>
      <c r="AY667" s="724" t="s">
        <v>863</v>
      </c>
    </row>
    <row r="668" spans="2:65" s="723" customFormat="1" ht="11.4" x14ac:dyDescent="0.25">
      <c r="B668" s="722"/>
      <c r="D668" s="716" t="s">
        <v>868</v>
      </c>
      <c r="E668" s="724" t="s">
        <v>725</v>
      </c>
      <c r="F668" s="725" t="s">
        <v>793</v>
      </c>
      <c r="H668" s="726">
        <v>1.33</v>
      </c>
      <c r="K668" s="727"/>
      <c r="L668" s="722"/>
      <c r="M668" s="728"/>
      <c r="T668" s="729"/>
      <c r="AT668" s="724" t="s">
        <v>868</v>
      </c>
      <c r="AU668" s="724" t="s">
        <v>101</v>
      </c>
      <c r="AV668" s="723" t="s">
        <v>101</v>
      </c>
      <c r="AW668" s="723" t="s">
        <v>870</v>
      </c>
      <c r="AX668" s="723" t="s">
        <v>301</v>
      </c>
      <c r="AY668" s="724" t="s">
        <v>863</v>
      </c>
    </row>
    <row r="669" spans="2:65" s="723" customFormat="1" ht="11.4" x14ac:dyDescent="0.25">
      <c r="B669" s="722"/>
      <c r="D669" s="716" t="s">
        <v>868</v>
      </c>
      <c r="E669" s="724" t="s">
        <v>725</v>
      </c>
      <c r="F669" s="725" t="s">
        <v>796</v>
      </c>
      <c r="H669" s="726">
        <v>10.59</v>
      </c>
      <c r="K669" s="727"/>
      <c r="L669" s="722"/>
      <c r="M669" s="728"/>
      <c r="T669" s="729"/>
      <c r="AT669" s="724" t="s">
        <v>868</v>
      </c>
      <c r="AU669" s="724" t="s">
        <v>101</v>
      </c>
      <c r="AV669" s="723" t="s">
        <v>101</v>
      </c>
      <c r="AW669" s="723" t="s">
        <v>870</v>
      </c>
      <c r="AX669" s="723" t="s">
        <v>301</v>
      </c>
      <c r="AY669" s="724" t="s">
        <v>863</v>
      </c>
    </row>
    <row r="670" spans="2:65" s="723" customFormat="1" ht="11.4" x14ac:dyDescent="0.25">
      <c r="B670" s="722"/>
      <c r="D670" s="716" t="s">
        <v>868</v>
      </c>
      <c r="E670" s="724" t="s">
        <v>725</v>
      </c>
      <c r="F670" s="725" t="s">
        <v>809</v>
      </c>
      <c r="H670" s="726">
        <v>19.7</v>
      </c>
      <c r="K670" s="727"/>
      <c r="L670" s="722"/>
      <c r="M670" s="728"/>
      <c r="T670" s="729"/>
      <c r="AT670" s="724" t="s">
        <v>868</v>
      </c>
      <c r="AU670" s="724" t="s">
        <v>101</v>
      </c>
      <c r="AV670" s="723" t="s">
        <v>101</v>
      </c>
      <c r="AW670" s="723" t="s">
        <v>870</v>
      </c>
      <c r="AX670" s="723" t="s">
        <v>301</v>
      </c>
      <c r="AY670" s="724" t="s">
        <v>863</v>
      </c>
    </row>
    <row r="671" spans="2:65" s="731" customFormat="1" ht="11.4" x14ac:dyDescent="0.25">
      <c r="B671" s="730"/>
      <c r="D671" s="716" t="s">
        <v>868</v>
      </c>
      <c r="E671" s="732" t="s">
        <v>725</v>
      </c>
      <c r="F671" s="733" t="s">
        <v>873</v>
      </c>
      <c r="H671" s="734">
        <v>42.05</v>
      </c>
      <c r="K671" s="735"/>
      <c r="L671" s="730"/>
      <c r="M671" s="736"/>
      <c r="T671" s="737"/>
      <c r="AT671" s="732" t="s">
        <v>868</v>
      </c>
      <c r="AU671" s="732" t="s">
        <v>101</v>
      </c>
      <c r="AV671" s="731" t="s">
        <v>103</v>
      </c>
      <c r="AW671" s="731" t="s">
        <v>870</v>
      </c>
      <c r="AX671" s="731" t="s">
        <v>99</v>
      </c>
      <c r="AY671" s="732" t="s">
        <v>863</v>
      </c>
    </row>
    <row r="672" spans="2:65" s="723" customFormat="1" ht="11.4" x14ac:dyDescent="0.25">
      <c r="B672" s="722"/>
      <c r="D672" s="716" t="s">
        <v>868</v>
      </c>
      <c r="F672" s="725" t="s">
        <v>1357</v>
      </c>
      <c r="H672" s="726">
        <v>43.311999999999998</v>
      </c>
      <c r="K672" s="727"/>
      <c r="L672" s="722"/>
      <c r="M672" s="728"/>
      <c r="T672" s="729"/>
      <c r="AT672" s="724" t="s">
        <v>868</v>
      </c>
      <c r="AU672" s="724" t="s">
        <v>101</v>
      </c>
      <c r="AV672" s="723" t="s">
        <v>101</v>
      </c>
      <c r="AW672" s="723" t="s">
        <v>699</v>
      </c>
      <c r="AX672" s="723" t="s">
        <v>99</v>
      </c>
      <c r="AY672" s="724" t="s">
        <v>863</v>
      </c>
    </row>
    <row r="673" spans="2:65" s="163" customFormat="1" ht="37.950000000000003" customHeight="1" x14ac:dyDescent="0.25">
      <c r="B673" s="702"/>
      <c r="C673" s="703" t="s">
        <v>1358</v>
      </c>
      <c r="D673" s="703" t="s">
        <v>864</v>
      </c>
      <c r="E673" s="704" t="s">
        <v>1359</v>
      </c>
      <c r="F673" s="705" t="s">
        <v>1360</v>
      </c>
      <c r="G673" s="706" t="s">
        <v>140</v>
      </c>
      <c r="H673" s="707">
        <v>43.78</v>
      </c>
      <c r="I673" s="708"/>
      <c r="J673" s="708">
        <f>ROUND(I673*H673,2)</f>
        <v>0</v>
      </c>
      <c r="K673" s="705" t="s">
        <v>2622</v>
      </c>
      <c r="L673" s="164"/>
      <c r="M673" s="709" t="s">
        <v>725</v>
      </c>
      <c r="N673" s="710" t="s">
        <v>813</v>
      </c>
      <c r="O673" s="711">
        <v>0.255</v>
      </c>
      <c r="P673" s="711">
        <f>O673*H673</f>
        <v>11.1639</v>
      </c>
      <c r="Q673" s="711">
        <v>0.14215</v>
      </c>
      <c r="R673" s="711">
        <f>Q673*H673</f>
        <v>6.2233270000000003</v>
      </c>
      <c r="S673" s="711">
        <v>0</v>
      </c>
      <c r="T673" s="712">
        <f>S673*H673</f>
        <v>0</v>
      </c>
      <c r="AR673" s="668" t="s">
        <v>103</v>
      </c>
      <c r="AT673" s="668" t="s">
        <v>864</v>
      </c>
      <c r="AU673" s="668" t="s">
        <v>101</v>
      </c>
      <c r="AY673" s="157" t="s">
        <v>863</v>
      </c>
      <c r="BE673" s="713">
        <f>IF(N673="základní",J673,0)</f>
        <v>0</v>
      </c>
      <c r="BF673" s="713">
        <f>IF(N673="snížená",J673,0)</f>
        <v>0</v>
      </c>
      <c r="BG673" s="713">
        <f>IF(N673="zákl. přenesená",J673,0)</f>
        <v>0</v>
      </c>
      <c r="BH673" s="713">
        <f>IF(N673="sníž. přenesená",J673,0)</f>
        <v>0</v>
      </c>
      <c r="BI673" s="713">
        <f>IF(N673="nulová",J673,0)</f>
        <v>0</v>
      </c>
      <c r="BJ673" s="157" t="s">
        <v>99</v>
      </c>
      <c r="BK673" s="713">
        <f>ROUND(I673*H673,2)</f>
        <v>0</v>
      </c>
      <c r="BL673" s="157" t="s">
        <v>103</v>
      </c>
      <c r="BM673" s="668" t="s">
        <v>1361</v>
      </c>
    </row>
    <row r="674" spans="2:65" s="715" customFormat="1" ht="11.4" x14ac:dyDescent="0.25">
      <c r="B674" s="714"/>
      <c r="D674" s="716" t="s">
        <v>868</v>
      </c>
      <c r="E674" s="717" t="s">
        <v>725</v>
      </c>
      <c r="F674" s="718" t="s">
        <v>881</v>
      </c>
      <c r="H674" s="717" t="s">
        <v>725</v>
      </c>
      <c r="K674" s="719"/>
      <c r="L674" s="714"/>
      <c r="M674" s="720"/>
      <c r="T674" s="721"/>
      <c r="AT674" s="717" t="s">
        <v>868</v>
      </c>
      <c r="AU674" s="717" t="s">
        <v>101</v>
      </c>
      <c r="AV674" s="715" t="s">
        <v>99</v>
      </c>
      <c r="AW674" s="715" t="s">
        <v>870</v>
      </c>
      <c r="AX674" s="715" t="s">
        <v>301</v>
      </c>
      <c r="AY674" s="717" t="s">
        <v>863</v>
      </c>
    </row>
    <row r="675" spans="2:65" s="715" customFormat="1" ht="11.4" x14ac:dyDescent="0.25">
      <c r="B675" s="714"/>
      <c r="D675" s="716" t="s">
        <v>868</v>
      </c>
      <c r="E675" s="717" t="s">
        <v>725</v>
      </c>
      <c r="F675" s="718" t="s">
        <v>869</v>
      </c>
      <c r="H675" s="717" t="s">
        <v>725</v>
      </c>
      <c r="K675" s="719"/>
      <c r="L675" s="714"/>
      <c r="M675" s="720"/>
      <c r="T675" s="721"/>
      <c r="AT675" s="717" t="s">
        <v>868</v>
      </c>
      <c r="AU675" s="717" t="s">
        <v>101</v>
      </c>
      <c r="AV675" s="715" t="s">
        <v>99</v>
      </c>
      <c r="AW675" s="715" t="s">
        <v>870</v>
      </c>
      <c r="AX675" s="715" t="s">
        <v>301</v>
      </c>
      <c r="AY675" s="717" t="s">
        <v>863</v>
      </c>
    </row>
    <row r="676" spans="2:65" s="723" customFormat="1" ht="11.4" x14ac:dyDescent="0.25">
      <c r="B676" s="722"/>
      <c r="D676" s="716" t="s">
        <v>868</v>
      </c>
      <c r="E676" s="724" t="s">
        <v>725</v>
      </c>
      <c r="F676" s="725" t="s">
        <v>1362</v>
      </c>
      <c r="H676" s="726">
        <v>43.78</v>
      </c>
      <c r="K676" s="727"/>
      <c r="L676" s="722"/>
      <c r="M676" s="728"/>
      <c r="T676" s="729"/>
      <c r="AT676" s="724" t="s">
        <v>868</v>
      </c>
      <c r="AU676" s="724" t="s">
        <v>101</v>
      </c>
      <c r="AV676" s="723" t="s">
        <v>101</v>
      </c>
      <c r="AW676" s="723" t="s">
        <v>870</v>
      </c>
      <c r="AX676" s="723" t="s">
        <v>99</v>
      </c>
      <c r="AY676" s="724" t="s">
        <v>863</v>
      </c>
    </row>
    <row r="677" spans="2:65" s="163" customFormat="1" ht="14.4" customHeight="1" x14ac:dyDescent="0.25">
      <c r="B677" s="702"/>
      <c r="C677" s="738" t="s">
        <v>1363</v>
      </c>
      <c r="D677" s="738" t="s">
        <v>298</v>
      </c>
      <c r="E677" s="739" t="s">
        <v>1343</v>
      </c>
      <c r="F677" s="740" t="s">
        <v>1344</v>
      </c>
      <c r="G677" s="741" t="s">
        <v>15</v>
      </c>
      <c r="H677" s="742">
        <v>22.547000000000001</v>
      </c>
      <c r="I677" s="743"/>
      <c r="J677" s="743">
        <f>ROUND(I677*H677,2)</f>
        <v>0</v>
      </c>
      <c r="K677" s="740" t="s">
        <v>931</v>
      </c>
      <c r="L677" s="744"/>
      <c r="M677" s="745" t="s">
        <v>725</v>
      </c>
      <c r="N677" s="746" t="s">
        <v>813</v>
      </c>
      <c r="O677" s="711">
        <v>0</v>
      </c>
      <c r="P677" s="711">
        <f>O677*H677</f>
        <v>0</v>
      </c>
      <c r="Q677" s="711">
        <v>0.156</v>
      </c>
      <c r="R677" s="711">
        <f>Q677*H677</f>
        <v>3.5173320000000001</v>
      </c>
      <c r="S677" s="711">
        <v>0</v>
      </c>
      <c r="T677" s="712">
        <f>S677*H677</f>
        <v>0</v>
      </c>
      <c r="AR677" s="668" t="s">
        <v>111</v>
      </c>
      <c r="AT677" s="668" t="s">
        <v>298</v>
      </c>
      <c r="AU677" s="668" t="s">
        <v>101</v>
      </c>
      <c r="AY677" s="157" t="s">
        <v>863</v>
      </c>
      <c r="BE677" s="713">
        <f>IF(N677="základní",J677,0)</f>
        <v>0</v>
      </c>
      <c r="BF677" s="713">
        <f>IF(N677="snížená",J677,0)</f>
        <v>0</v>
      </c>
      <c r="BG677" s="713">
        <f>IF(N677="zákl. přenesená",J677,0)</f>
        <v>0</v>
      </c>
      <c r="BH677" s="713">
        <f>IF(N677="sníž. přenesená",J677,0)</f>
        <v>0</v>
      </c>
      <c r="BI677" s="713">
        <f>IF(N677="nulová",J677,0)</f>
        <v>0</v>
      </c>
      <c r="BJ677" s="157" t="s">
        <v>99</v>
      </c>
      <c r="BK677" s="713">
        <f>ROUND(I677*H677,2)</f>
        <v>0</v>
      </c>
      <c r="BL677" s="157" t="s">
        <v>103</v>
      </c>
      <c r="BM677" s="668" t="s">
        <v>1364</v>
      </c>
    </row>
    <row r="678" spans="2:65" s="723" customFormat="1" ht="11.4" x14ac:dyDescent="0.25">
      <c r="B678" s="722"/>
      <c r="D678" s="716" t="s">
        <v>868</v>
      </c>
      <c r="E678" s="724" t="s">
        <v>725</v>
      </c>
      <c r="F678" s="725" t="s">
        <v>1365</v>
      </c>
      <c r="H678" s="726">
        <v>21.89</v>
      </c>
      <c r="K678" s="727"/>
      <c r="L678" s="722"/>
      <c r="M678" s="728"/>
      <c r="T678" s="729"/>
      <c r="AT678" s="724" t="s">
        <v>868</v>
      </c>
      <c r="AU678" s="724" t="s">
        <v>101</v>
      </c>
      <c r="AV678" s="723" t="s">
        <v>101</v>
      </c>
      <c r="AW678" s="723" t="s">
        <v>870</v>
      </c>
      <c r="AX678" s="723" t="s">
        <v>99</v>
      </c>
      <c r="AY678" s="724" t="s">
        <v>863</v>
      </c>
    </row>
    <row r="679" spans="2:65" s="723" customFormat="1" ht="11.4" x14ac:dyDescent="0.25">
      <c r="B679" s="722"/>
      <c r="D679" s="716" t="s">
        <v>868</v>
      </c>
      <c r="F679" s="725" t="s">
        <v>1366</v>
      </c>
      <c r="H679" s="726">
        <v>22.547000000000001</v>
      </c>
      <c r="K679" s="727"/>
      <c r="L679" s="722"/>
      <c r="M679" s="728"/>
      <c r="T679" s="729"/>
      <c r="AT679" s="724" t="s">
        <v>868</v>
      </c>
      <c r="AU679" s="724" t="s">
        <v>101</v>
      </c>
      <c r="AV679" s="723" t="s">
        <v>101</v>
      </c>
      <c r="AW679" s="723" t="s">
        <v>699</v>
      </c>
      <c r="AX679" s="723" t="s">
        <v>99</v>
      </c>
      <c r="AY679" s="724" t="s">
        <v>863</v>
      </c>
    </row>
    <row r="680" spans="2:65" s="163" customFormat="1" ht="24.15" customHeight="1" x14ac:dyDescent="0.25">
      <c r="B680" s="702"/>
      <c r="C680" s="703" t="s">
        <v>1367</v>
      </c>
      <c r="D680" s="703" t="s">
        <v>864</v>
      </c>
      <c r="E680" s="704" t="s">
        <v>1368</v>
      </c>
      <c r="F680" s="705" t="s">
        <v>1369</v>
      </c>
      <c r="G680" s="706" t="s">
        <v>140</v>
      </c>
      <c r="H680" s="707">
        <v>50.12</v>
      </c>
      <c r="I680" s="708"/>
      <c r="J680" s="708">
        <f>ROUND(I680*H680,2)</f>
        <v>0</v>
      </c>
      <c r="K680" s="705" t="s">
        <v>2622</v>
      </c>
      <c r="L680" s="164"/>
      <c r="M680" s="709" t="s">
        <v>725</v>
      </c>
      <c r="N680" s="710" t="s">
        <v>813</v>
      </c>
      <c r="O680" s="711">
        <v>1.6E-2</v>
      </c>
      <c r="P680" s="711">
        <f>O680*H680</f>
        <v>0.80191999999999997</v>
      </c>
      <c r="Q680" s="711">
        <v>0</v>
      </c>
      <c r="R680" s="711">
        <f>Q680*H680</f>
        <v>0</v>
      </c>
      <c r="S680" s="711">
        <v>0</v>
      </c>
      <c r="T680" s="712">
        <f>S680*H680</f>
        <v>0</v>
      </c>
      <c r="AR680" s="668" t="s">
        <v>103</v>
      </c>
      <c r="AT680" s="668" t="s">
        <v>864</v>
      </c>
      <c r="AU680" s="668" t="s">
        <v>101</v>
      </c>
      <c r="AY680" s="157" t="s">
        <v>863</v>
      </c>
      <c r="BE680" s="713">
        <f>IF(N680="základní",J680,0)</f>
        <v>0</v>
      </c>
      <c r="BF680" s="713">
        <f>IF(N680="snížená",J680,0)</f>
        <v>0</v>
      </c>
      <c r="BG680" s="713">
        <f>IF(N680="zákl. přenesená",J680,0)</f>
        <v>0</v>
      </c>
      <c r="BH680" s="713">
        <f>IF(N680="sníž. přenesená",J680,0)</f>
        <v>0</v>
      </c>
      <c r="BI680" s="713">
        <f>IF(N680="nulová",J680,0)</f>
        <v>0</v>
      </c>
      <c r="BJ680" s="157" t="s">
        <v>99</v>
      </c>
      <c r="BK680" s="713">
        <f>ROUND(I680*H680,2)</f>
        <v>0</v>
      </c>
      <c r="BL680" s="157" t="s">
        <v>103</v>
      </c>
      <c r="BM680" s="668" t="s">
        <v>1370</v>
      </c>
    </row>
    <row r="681" spans="2:65" s="715" customFormat="1" ht="11.4" x14ac:dyDescent="0.25">
      <c r="B681" s="714"/>
      <c r="D681" s="716" t="s">
        <v>868</v>
      </c>
      <c r="E681" s="717" t="s">
        <v>725</v>
      </c>
      <c r="F681" s="718" t="s">
        <v>1371</v>
      </c>
      <c r="H681" s="717" t="s">
        <v>725</v>
      </c>
      <c r="K681" s="719"/>
      <c r="L681" s="714"/>
      <c r="M681" s="720"/>
      <c r="T681" s="721"/>
      <c r="AT681" s="717" t="s">
        <v>868</v>
      </c>
      <c r="AU681" s="717" t="s">
        <v>101</v>
      </c>
      <c r="AV681" s="715" t="s">
        <v>99</v>
      </c>
      <c r="AW681" s="715" t="s">
        <v>870</v>
      </c>
      <c r="AX681" s="715" t="s">
        <v>301</v>
      </c>
      <c r="AY681" s="717" t="s">
        <v>863</v>
      </c>
    </row>
    <row r="682" spans="2:65" s="723" customFormat="1" ht="11.4" x14ac:dyDescent="0.25">
      <c r="B682" s="722"/>
      <c r="D682" s="716" t="s">
        <v>868</v>
      </c>
      <c r="E682" s="724" t="s">
        <v>725</v>
      </c>
      <c r="F682" s="725" t="s">
        <v>1372</v>
      </c>
      <c r="H682" s="726">
        <v>13.67</v>
      </c>
      <c r="K682" s="727"/>
      <c r="L682" s="722"/>
      <c r="M682" s="728"/>
      <c r="T682" s="729"/>
      <c r="AT682" s="724" t="s">
        <v>868</v>
      </c>
      <c r="AU682" s="724" t="s">
        <v>101</v>
      </c>
      <c r="AV682" s="723" t="s">
        <v>101</v>
      </c>
      <c r="AW682" s="723" t="s">
        <v>870</v>
      </c>
      <c r="AX682" s="723" t="s">
        <v>301</v>
      </c>
      <c r="AY682" s="724" t="s">
        <v>863</v>
      </c>
    </row>
    <row r="683" spans="2:65" s="715" customFormat="1" ht="11.4" x14ac:dyDescent="0.25">
      <c r="B683" s="714"/>
      <c r="D683" s="716" t="s">
        <v>868</v>
      </c>
      <c r="E683" s="717" t="s">
        <v>725</v>
      </c>
      <c r="F683" s="718" t="s">
        <v>1373</v>
      </c>
      <c r="H683" s="717" t="s">
        <v>725</v>
      </c>
      <c r="K683" s="719"/>
      <c r="L683" s="714"/>
      <c r="M683" s="720"/>
      <c r="T683" s="721"/>
      <c r="AT683" s="717" t="s">
        <v>868</v>
      </c>
      <c r="AU683" s="717" t="s">
        <v>101</v>
      </c>
      <c r="AV683" s="715" t="s">
        <v>99</v>
      </c>
      <c r="AW683" s="715" t="s">
        <v>870</v>
      </c>
      <c r="AX683" s="715" t="s">
        <v>301</v>
      </c>
      <c r="AY683" s="717" t="s">
        <v>863</v>
      </c>
    </row>
    <row r="684" spans="2:65" s="723" customFormat="1" ht="11.4" x14ac:dyDescent="0.25">
      <c r="B684" s="722"/>
      <c r="D684" s="716" t="s">
        <v>868</v>
      </c>
      <c r="E684" s="724" t="s">
        <v>725</v>
      </c>
      <c r="F684" s="725" t="s">
        <v>1374</v>
      </c>
      <c r="H684" s="726">
        <v>36.450000000000003</v>
      </c>
      <c r="K684" s="727"/>
      <c r="L684" s="722"/>
      <c r="M684" s="728"/>
      <c r="T684" s="729"/>
      <c r="AT684" s="724" t="s">
        <v>868</v>
      </c>
      <c r="AU684" s="724" t="s">
        <v>101</v>
      </c>
      <c r="AV684" s="723" t="s">
        <v>101</v>
      </c>
      <c r="AW684" s="723" t="s">
        <v>870</v>
      </c>
      <c r="AX684" s="723" t="s">
        <v>301</v>
      </c>
      <c r="AY684" s="724" t="s">
        <v>863</v>
      </c>
    </row>
    <row r="685" spans="2:65" s="731" customFormat="1" ht="11.4" x14ac:dyDescent="0.25">
      <c r="B685" s="730"/>
      <c r="D685" s="716" t="s">
        <v>868</v>
      </c>
      <c r="E685" s="732" t="s">
        <v>725</v>
      </c>
      <c r="F685" s="733" t="s">
        <v>873</v>
      </c>
      <c r="H685" s="734">
        <v>50.12</v>
      </c>
      <c r="K685" s="735"/>
      <c r="L685" s="730"/>
      <c r="M685" s="736"/>
      <c r="T685" s="737"/>
      <c r="AT685" s="732" t="s">
        <v>868</v>
      </c>
      <c r="AU685" s="732" t="s">
        <v>101</v>
      </c>
      <c r="AV685" s="731" t="s">
        <v>103</v>
      </c>
      <c r="AW685" s="731" t="s">
        <v>870</v>
      </c>
      <c r="AX685" s="731" t="s">
        <v>99</v>
      </c>
      <c r="AY685" s="732" t="s">
        <v>863</v>
      </c>
    </row>
    <row r="686" spans="2:65" s="163" customFormat="1" ht="24.15" customHeight="1" x14ac:dyDescent="0.25">
      <c r="B686" s="702"/>
      <c r="C686" s="703" t="s">
        <v>1375</v>
      </c>
      <c r="D686" s="703" t="s">
        <v>864</v>
      </c>
      <c r="E686" s="704" t="s">
        <v>1376</v>
      </c>
      <c r="F686" s="705" t="s">
        <v>1377</v>
      </c>
      <c r="G686" s="706" t="s">
        <v>15</v>
      </c>
      <c r="H686" s="707">
        <v>26</v>
      </c>
      <c r="I686" s="708"/>
      <c r="J686" s="708">
        <f>ROUND(I686*H686,2)</f>
        <v>0</v>
      </c>
      <c r="K686" s="705" t="s">
        <v>2622</v>
      </c>
      <c r="L686" s="164"/>
      <c r="M686" s="709" t="s">
        <v>725</v>
      </c>
      <c r="N686" s="710" t="s">
        <v>813</v>
      </c>
      <c r="O686" s="711">
        <v>8.3000000000000004E-2</v>
      </c>
      <c r="P686" s="711">
        <f>O686*H686</f>
        <v>2.1579999999999999</v>
      </c>
      <c r="Q686" s="711">
        <v>1.0000000000000001E-5</v>
      </c>
      <c r="R686" s="711">
        <f>Q686*H686</f>
        <v>2.6000000000000003E-4</v>
      </c>
      <c r="S686" s="711">
        <v>0</v>
      </c>
      <c r="T686" s="712">
        <f>S686*H686</f>
        <v>0</v>
      </c>
      <c r="AR686" s="668" t="s">
        <v>103</v>
      </c>
      <c r="AT686" s="668" t="s">
        <v>864</v>
      </c>
      <c r="AU686" s="668" t="s">
        <v>101</v>
      </c>
      <c r="AY686" s="157" t="s">
        <v>863</v>
      </c>
      <c r="BE686" s="713">
        <f>IF(N686="základní",J686,0)</f>
        <v>0</v>
      </c>
      <c r="BF686" s="713">
        <f>IF(N686="snížená",J686,0)</f>
        <v>0</v>
      </c>
      <c r="BG686" s="713">
        <f>IF(N686="zákl. přenesená",J686,0)</f>
        <v>0</v>
      </c>
      <c r="BH686" s="713">
        <f>IF(N686="sníž. přenesená",J686,0)</f>
        <v>0</v>
      </c>
      <c r="BI686" s="713">
        <f>IF(N686="nulová",J686,0)</f>
        <v>0</v>
      </c>
      <c r="BJ686" s="157" t="s">
        <v>99</v>
      </c>
      <c r="BK686" s="713">
        <f>ROUND(I686*H686,2)</f>
        <v>0</v>
      </c>
      <c r="BL686" s="157" t="s">
        <v>103</v>
      </c>
      <c r="BM686" s="668" t="s">
        <v>1378</v>
      </c>
    </row>
    <row r="687" spans="2:65" s="715" customFormat="1" ht="11.4" x14ac:dyDescent="0.25">
      <c r="B687" s="714"/>
      <c r="D687" s="716" t="s">
        <v>868</v>
      </c>
      <c r="E687" s="717" t="s">
        <v>725</v>
      </c>
      <c r="F687" s="718" t="s">
        <v>1379</v>
      </c>
      <c r="H687" s="717" t="s">
        <v>725</v>
      </c>
      <c r="K687" s="719"/>
      <c r="L687" s="714"/>
      <c r="M687" s="720"/>
      <c r="T687" s="721"/>
      <c r="AT687" s="717" t="s">
        <v>868</v>
      </c>
      <c r="AU687" s="717" t="s">
        <v>101</v>
      </c>
      <c r="AV687" s="715" t="s">
        <v>99</v>
      </c>
      <c r="AW687" s="715" t="s">
        <v>870</v>
      </c>
      <c r="AX687" s="715" t="s">
        <v>301</v>
      </c>
      <c r="AY687" s="717" t="s">
        <v>863</v>
      </c>
    </row>
    <row r="688" spans="2:65" s="723" customFormat="1" ht="11.4" x14ac:dyDescent="0.25">
      <c r="B688" s="722"/>
      <c r="D688" s="716" t="s">
        <v>868</v>
      </c>
      <c r="E688" s="724" t="s">
        <v>725</v>
      </c>
      <c r="F688" s="725" t="s">
        <v>1380</v>
      </c>
      <c r="H688" s="726">
        <v>26</v>
      </c>
      <c r="K688" s="727"/>
      <c r="L688" s="722"/>
      <c r="M688" s="728"/>
      <c r="T688" s="729"/>
      <c r="AT688" s="724" t="s">
        <v>868</v>
      </c>
      <c r="AU688" s="724" t="s">
        <v>101</v>
      </c>
      <c r="AV688" s="723" t="s">
        <v>101</v>
      </c>
      <c r="AW688" s="723" t="s">
        <v>870</v>
      </c>
      <c r="AX688" s="723" t="s">
        <v>99</v>
      </c>
      <c r="AY688" s="724" t="s">
        <v>863</v>
      </c>
    </row>
    <row r="689" spans="2:65" s="163" customFormat="1" ht="37.950000000000003" customHeight="1" x14ac:dyDescent="0.25">
      <c r="B689" s="702"/>
      <c r="C689" s="703" t="s">
        <v>1381</v>
      </c>
      <c r="D689" s="703" t="s">
        <v>864</v>
      </c>
      <c r="E689" s="704" t="s">
        <v>1382</v>
      </c>
      <c r="F689" s="705" t="s">
        <v>1383</v>
      </c>
      <c r="G689" s="706" t="s">
        <v>140</v>
      </c>
      <c r="H689" s="707">
        <v>24</v>
      </c>
      <c r="I689" s="708"/>
      <c r="J689" s="708">
        <f>ROUND(I689*H689,2)</f>
        <v>0</v>
      </c>
      <c r="K689" s="705" t="s">
        <v>2622</v>
      </c>
      <c r="L689" s="164"/>
      <c r="M689" s="709" t="s">
        <v>725</v>
      </c>
      <c r="N689" s="710" t="s">
        <v>813</v>
      </c>
      <c r="O689" s="711">
        <v>0.14599999999999999</v>
      </c>
      <c r="P689" s="711">
        <f>O689*H689</f>
        <v>3.5039999999999996</v>
      </c>
      <c r="Q689" s="711">
        <v>0.10988000000000001</v>
      </c>
      <c r="R689" s="711">
        <f>Q689*H689</f>
        <v>2.6371200000000004</v>
      </c>
      <c r="S689" s="711">
        <v>0</v>
      </c>
      <c r="T689" s="712">
        <f>S689*H689</f>
        <v>0</v>
      </c>
      <c r="AR689" s="668" t="s">
        <v>103</v>
      </c>
      <c r="AT689" s="668" t="s">
        <v>864</v>
      </c>
      <c r="AU689" s="668" t="s">
        <v>101</v>
      </c>
      <c r="AY689" s="157" t="s">
        <v>863</v>
      </c>
      <c r="BE689" s="713">
        <f>IF(N689="základní",J689,0)</f>
        <v>0</v>
      </c>
      <c r="BF689" s="713">
        <f>IF(N689="snížená",J689,0)</f>
        <v>0</v>
      </c>
      <c r="BG689" s="713">
        <f>IF(N689="zákl. přenesená",J689,0)</f>
        <v>0</v>
      </c>
      <c r="BH689" s="713">
        <f>IF(N689="sníž. přenesená",J689,0)</f>
        <v>0</v>
      </c>
      <c r="BI689" s="713">
        <f>IF(N689="nulová",J689,0)</f>
        <v>0</v>
      </c>
      <c r="BJ689" s="157" t="s">
        <v>99</v>
      </c>
      <c r="BK689" s="713">
        <f>ROUND(I689*H689,2)</f>
        <v>0</v>
      </c>
      <c r="BL689" s="157" t="s">
        <v>103</v>
      </c>
      <c r="BM689" s="668" t="s">
        <v>1384</v>
      </c>
    </row>
    <row r="690" spans="2:65" s="715" customFormat="1" ht="11.4" x14ac:dyDescent="0.25">
      <c r="B690" s="714"/>
      <c r="D690" s="716" t="s">
        <v>868</v>
      </c>
      <c r="E690" s="717" t="s">
        <v>725</v>
      </c>
      <c r="F690" s="718" t="s">
        <v>869</v>
      </c>
      <c r="H690" s="717" t="s">
        <v>725</v>
      </c>
      <c r="K690" s="719"/>
      <c r="L690" s="714"/>
      <c r="M690" s="720"/>
      <c r="T690" s="721"/>
      <c r="AT690" s="717" t="s">
        <v>868</v>
      </c>
      <c r="AU690" s="717" t="s">
        <v>101</v>
      </c>
      <c r="AV690" s="715" t="s">
        <v>99</v>
      </c>
      <c r="AW690" s="715" t="s">
        <v>870</v>
      </c>
      <c r="AX690" s="715" t="s">
        <v>301</v>
      </c>
      <c r="AY690" s="717" t="s">
        <v>863</v>
      </c>
    </row>
    <row r="691" spans="2:65" s="715" customFormat="1" ht="11.4" x14ac:dyDescent="0.25">
      <c r="B691" s="714"/>
      <c r="D691" s="716" t="s">
        <v>868</v>
      </c>
      <c r="E691" s="717" t="s">
        <v>725</v>
      </c>
      <c r="F691" s="718" t="s">
        <v>887</v>
      </c>
      <c r="H691" s="717" t="s">
        <v>725</v>
      </c>
      <c r="K691" s="719"/>
      <c r="L691" s="714"/>
      <c r="M691" s="720"/>
      <c r="T691" s="721"/>
      <c r="AT691" s="717" t="s">
        <v>868</v>
      </c>
      <c r="AU691" s="717" t="s">
        <v>101</v>
      </c>
      <c r="AV691" s="715" t="s">
        <v>99</v>
      </c>
      <c r="AW691" s="715" t="s">
        <v>870</v>
      </c>
      <c r="AX691" s="715" t="s">
        <v>301</v>
      </c>
      <c r="AY691" s="717" t="s">
        <v>863</v>
      </c>
    </row>
    <row r="692" spans="2:65" s="715" customFormat="1" ht="11.4" x14ac:dyDescent="0.25">
      <c r="B692" s="714"/>
      <c r="D692" s="716" t="s">
        <v>868</v>
      </c>
      <c r="E692" s="717" t="s">
        <v>725</v>
      </c>
      <c r="F692" s="718" t="s">
        <v>888</v>
      </c>
      <c r="H692" s="717" t="s">
        <v>725</v>
      </c>
      <c r="K692" s="719"/>
      <c r="L692" s="714"/>
      <c r="M692" s="720"/>
      <c r="T692" s="721"/>
      <c r="AT692" s="717" t="s">
        <v>868</v>
      </c>
      <c r="AU692" s="717" t="s">
        <v>101</v>
      </c>
      <c r="AV692" s="715" t="s">
        <v>99</v>
      </c>
      <c r="AW692" s="715" t="s">
        <v>870</v>
      </c>
      <c r="AX692" s="715" t="s">
        <v>301</v>
      </c>
      <c r="AY692" s="717" t="s">
        <v>863</v>
      </c>
    </row>
    <row r="693" spans="2:65" s="723" customFormat="1" ht="11.4" x14ac:dyDescent="0.25">
      <c r="B693" s="722"/>
      <c r="D693" s="716" t="s">
        <v>868</v>
      </c>
      <c r="E693" s="724" t="s">
        <v>725</v>
      </c>
      <c r="F693" s="725" t="s">
        <v>1385</v>
      </c>
      <c r="H693" s="726">
        <v>24</v>
      </c>
      <c r="K693" s="727"/>
      <c r="L693" s="722"/>
      <c r="M693" s="728"/>
      <c r="T693" s="729"/>
      <c r="AT693" s="724" t="s">
        <v>868</v>
      </c>
      <c r="AU693" s="724" t="s">
        <v>101</v>
      </c>
      <c r="AV693" s="723" t="s">
        <v>101</v>
      </c>
      <c r="AW693" s="723" t="s">
        <v>870</v>
      </c>
      <c r="AX693" s="723" t="s">
        <v>301</v>
      </c>
      <c r="AY693" s="724" t="s">
        <v>863</v>
      </c>
    </row>
    <row r="694" spans="2:65" s="731" customFormat="1" ht="11.4" x14ac:dyDescent="0.25">
      <c r="B694" s="730"/>
      <c r="D694" s="716" t="s">
        <v>868</v>
      </c>
      <c r="E694" s="732" t="s">
        <v>725</v>
      </c>
      <c r="F694" s="733" t="s">
        <v>873</v>
      </c>
      <c r="H694" s="734">
        <v>24</v>
      </c>
      <c r="K694" s="735"/>
      <c r="L694" s="730"/>
      <c r="M694" s="736"/>
      <c r="T694" s="737"/>
      <c r="AT694" s="732" t="s">
        <v>868</v>
      </c>
      <c r="AU694" s="732" t="s">
        <v>101</v>
      </c>
      <c r="AV694" s="731" t="s">
        <v>103</v>
      </c>
      <c r="AW694" s="731" t="s">
        <v>870</v>
      </c>
      <c r="AX694" s="731" t="s">
        <v>99</v>
      </c>
      <c r="AY694" s="732" t="s">
        <v>863</v>
      </c>
    </row>
    <row r="695" spans="2:65" s="163" customFormat="1" ht="14.4" customHeight="1" x14ac:dyDescent="0.25">
      <c r="B695" s="702"/>
      <c r="C695" s="738" t="s">
        <v>1386</v>
      </c>
      <c r="D695" s="738" t="s">
        <v>298</v>
      </c>
      <c r="E695" s="739" t="s">
        <v>1387</v>
      </c>
      <c r="F695" s="740" t="s">
        <v>1388</v>
      </c>
      <c r="G695" s="741" t="s">
        <v>15</v>
      </c>
      <c r="H695" s="742">
        <v>4.1210000000000004</v>
      </c>
      <c r="I695" s="743"/>
      <c r="J695" s="743">
        <f>ROUND(I695*H695,2)</f>
        <v>0</v>
      </c>
      <c r="K695" s="740" t="s">
        <v>2622</v>
      </c>
      <c r="L695" s="744"/>
      <c r="M695" s="745" t="s">
        <v>725</v>
      </c>
      <c r="N695" s="746" t="s">
        <v>813</v>
      </c>
      <c r="O695" s="711">
        <v>0</v>
      </c>
      <c r="P695" s="711">
        <f>O695*H695</f>
        <v>0</v>
      </c>
      <c r="Q695" s="711">
        <v>0.41699999999999998</v>
      </c>
      <c r="R695" s="711">
        <f>Q695*H695</f>
        <v>1.7184570000000001</v>
      </c>
      <c r="S695" s="711">
        <v>0</v>
      </c>
      <c r="T695" s="712">
        <f>S695*H695</f>
        <v>0</v>
      </c>
      <c r="AR695" s="668" t="s">
        <v>111</v>
      </c>
      <c r="AT695" s="668" t="s">
        <v>298</v>
      </c>
      <c r="AU695" s="668" t="s">
        <v>101</v>
      </c>
      <c r="AY695" s="157" t="s">
        <v>863</v>
      </c>
      <c r="BE695" s="713">
        <f>IF(N695="základní",J695,0)</f>
        <v>0</v>
      </c>
      <c r="BF695" s="713">
        <f>IF(N695="snížená",J695,0)</f>
        <v>0</v>
      </c>
      <c r="BG695" s="713">
        <f>IF(N695="zákl. přenesená",J695,0)</f>
        <v>0</v>
      </c>
      <c r="BH695" s="713">
        <f>IF(N695="sníž. přenesená",J695,0)</f>
        <v>0</v>
      </c>
      <c r="BI695" s="713">
        <f>IF(N695="nulová",J695,0)</f>
        <v>0</v>
      </c>
      <c r="BJ695" s="157" t="s">
        <v>99</v>
      </c>
      <c r="BK695" s="713">
        <f>ROUND(I695*H695,2)</f>
        <v>0</v>
      </c>
      <c r="BL695" s="157" t="s">
        <v>103</v>
      </c>
      <c r="BM695" s="668" t="s">
        <v>1389</v>
      </c>
    </row>
    <row r="696" spans="2:65" s="723" customFormat="1" ht="11.4" x14ac:dyDescent="0.25">
      <c r="B696" s="722"/>
      <c r="D696" s="716" t="s">
        <v>868</v>
      </c>
      <c r="F696" s="725" t="s">
        <v>1390</v>
      </c>
      <c r="H696" s="726">
        <v>4.1210000000000004</v>
      </c>
      <c r="K696" s="727"/>
      <c r="L696" s="722"/>
      <c r="M696" s="728"/>
      <c r="T696" s="729"/>
      <c r="AT696" s="724" t="s">
        <v>868</v>
      </c>
      <c r="AU696" s="724" t="s">
        <v>101</v>
      </c>
      <c r="AV696" s="723" t="s">
        <v>101</v>
      </c>
      <c r="AW696" s="723" t="s">
        <v>699</v>
      </c>
      <c r="AX696" s="723" t="s">
        <v>99</v>
      </c>
      <c r="AY696" s="724" t="s">
        <v>863</v>
      </c>
    </row>
    <row r="697" spans="2:65" s="163" customFormat="1" ht="38.4" customHeight="1" x14ac:dyDescent="0.25">
      <c r="B697" s="702"/>
      <c r="C697" s="703" t="s">
        <v>1391</v>
      </c>
      <c r="D697" s="703" t="s">
        <v>864</v>
      </c>
      <c r="E697" s="704" t="s">
        <v>1392</v>
      </c>
      <c r="F697" s="705" t="s">
        <v>1393</v>
      </c>
      <c r="G697" s="706" t="s">
        <v>140</v>
      </c>
      <c r="H697" s="707">
        <v>50.03</v>
      </c>
      <c r="I697" s="708"/>
      <c r="J697" s="708">
        <f>ROUND(I697*H697,2)</f>
        <v>0</v>
      </c>
      <c r="K697" s="705" t="s">
        <v>2622</v>
      </c>
      <c r="L697" s="164"/>
      <c r="M697" s="709" t="s">
        <v>725</v>
      </c>
      <c r="N697" s="710" t="s">
        <v>813</v>
      </c>
      <c r="O697" s="711">
        <v>0.26800000000000002</v>
      </c>
      <c r="P697" s="711">
        <f>O697*H697</f>
        <v>13.408040000000002</v>
      </c>
      <c r="Q697" s="711">
        <v>0.15540000000000001</v>
      </c>
      <c r="R697" s="711">
        <f>Q697*H697</f>
        <v>7.7746620000000011</v>
      </c>
      <c r="S697" s="711">
        <v>0</v>
      </c>
      <c r="T697" s="712">
        <f>S697*H697</f>
        <v>0</v>
      </c>
      <c r="AR697" s="668" t="s">
        <v>103</v>
      </c>
      <c r="AT697" s="668" t="s">
        <v>864</v>
      </c>
      <c r="AU697" s="668" t="s">
        <v>101</v>
      </c>
      <c r="AY697" s="157" t="s">
        <v>863</v>
      </c>
      <c r="BE697" s="713">
        <f>IF(N697="základní",J697,0)</f>
        <v>0</v>
      </c>
      <c r="BF697" s="713">
        <f>IF(N697="snížená",J697,0)</f>
        <v>0</v>
      </c>
      <c r="BG697" s="713">
        <f>IF(N697="zákl. přenesená",J697,0)</f>
        <v>0</v>
      </c>
      <c r="BH697" s="713">
        <f>IF(N697="sníž. přenesená",J697,0)</f>
        <v>0</v>
      </c>
      <c r="BI697" s="713">
        <f>IF(N697="nulová",J697,0)</f>
        <v>0</v>
      </c>
      <c r="BJ697" s="157" t="s">
        <v>99</v>
      </c>
      <c r="BK697" s="713">
        <f>ROUND(I697*H697,2)</f>
        <v>0</v>
      </c>
      <c r="BL697" s="157" t="s">
        <v>103</v>
      </c>
      <c r="BM697" s="668" t="s">
        <v>1394</v>
      </c>
    </row>
    <row r="698" spans="2:65" s="715" customFormat="1" ht="11.4" x14ac:dyDescent="0.25">
      <c r="B698" s="714"/>
      <c r="D698" s="716" t="s">
        <v>868</v>
      </c>
      <c r="E698" s="717" t="s">
        <v>725</v>
      </c>
      <c r="F698" s="718" t="s">
        <v>1395</v>
      </c>
      <c r="H698" s="717" t="s">
        <v>725</v>
      </c>
      <c r="K698" s="719"/>
      <c r="L698" s="714"/>
      <c r="M698" s="720"/>
      <c r="T698" s="721"/>
      <c r="AT698" s="717" t="s">
        <v>868</v>
      </c>
      <c r="AU698" s="717" t="s">
        <v>101</v>
      </c>
      <c r="AV698" s="715" t="s">
        <v>99</v>
      </c>
      <c r="AW698" s="715" t="s">
        <v>870</v>
      </c>
      <c r="AX698" s="715" t="s">
        <v>301</v>
      </c>
      <c r="AY698" s="717" t="s">
        <v>863</v>
      </c>
    </row>
    <row r="699" spans="2:65" s="723" customFormat="1" ht="11.4" x14ac:dyDescent="0.25">
      <c r="B699" s="722"/>
      <c r="D699" s="716" t="s">
        <v>868</v>
      </c>
      <c r="E699" s="724" t="s">
        <v>725</v>
      </c>
      <c r="F699" s="725" t="s">
        <v>1396</v>
      </c>
      <c r="H699" s="726">
        <v>46.53</v>
      </c>
      <c r="K699" s="727"/>
      <c r="L699" s="722"/>
      <c r="M699" s="728"/>
      <c r="T699" s="729"/>
      <c r="AT699" s="724" t="s">
        <v>868</v>
      </c>
      <c r="AU699" s="724" t="s">
        <v>101</v>
      </c>
      <c r="AV699" s="723" t="s">
        <v>101</v>
      </c>
      <c r="AW699" s="723" t="s">
        <v>870</v>
      </c>
      <c r="AX699" s="723" t="s">
        <v>301</v>
      </c>
      <c r="AY699" s="724" t="s">
        <v>863</v>
      </c>
    </row>
    <row r="700" spans="2:65" s="723" customFormat="1" ht="11.4" x14ac:dyDescent="0.25">
      <c r="B700" s="722"/>
      <c r="D700" s="716" t="s">
        <v>868</v>
      </c>
      <c r="E700" s="724" t="s">
        <v>725</v>
      </c>
      <c r="F700" s="725" t="s">
        <v>1397</v>
      </c>
      <c r="H700" s="726">
        <v>1.5</v>
      </c>
      <c r="K700" s="727"/>
      <c r="L700" s="722"/>
      <c r="M700" s="728"/>
      <c r="T700" s="729"/>
      <c r="AT700" s="724" t="s">
        <v>868</v>
      </c>
      <c r="AU700" s="724" t="s">
        <v>101</v>
      </c>
      <c r="AV700" s="723" t="s">
        <v>101</v>
      </c>
      <c r="AW700" s="723" t="s">
        <v>870</v>
      </c>
      <c r="AX700" s="723" t="s">
        <v>301</v>
      </c>
      <c r="AY700" s="724" t="s">
        <v>863</v>
      </c>
    </row>
    <row r="701" spans="2:65" s="723" customFormat="1" ht="11.4" x14ac:dyDescent="0.25">
      <c r="B701" s="722"/>
      <c r="D701" s="716" t="s">
        <v>868</v>
      </c>
      <c r="E701" s="724" t="s">
        <v>725</v>
      </c>
      <c r="F701" s="725" t="s">
        <v>1398</v>
      </c>
      <c r="H701" s="726">
        <v>2</v>
      </c>
      <c r="K701" s="727"/>
      <c r="L701" s="722"/>
      <c r="M701" s="728"/>
      <c r="T701" s="729"/>
      <c r="AT701" s="724" t="s">
        <v>868</v>
      </c>
      <c r="AU701" s="724" t="s">
        <v>101</v>
      </c>
      <c r="AV701" s="723" t="s">
        <v>101</v>
      </c>
      <c r="AW701" s="723" t="s">
        <v>870</v>
      </c>
      <c r="AX701" s="723" t="s">
        <v>301</v>
      </c>
      <c r="AY701" s="724" t="s">
        <v>863</v>
      </c>
    </row>
    <row r="702" spans="2:65" s="731" customFormat="1" ht="11.4" x14ac:dyDescent="0.25">
      <c r="B702" s="730"/>
      <c r="D702" s="716" t="s">
        <v>868</v>
      </c>
      <c r="E702" s="732" t="s">
        <v>725</v>
      </c>
      <c r="F702" s="733" t="s">
        <v>873</v>
      </c>
      <c r="H702" s="734">
        <v>50.03</v>
      </c>
      <c r="K702" s="735"/>
      <c r="L702" s="730"/>
      <c r="M702" s="736"/>
      <c r="T702" s="737"/>
      <c r="AT702" s="732" t="s">
        <v>868</v>
      </c>
      <c r="AU702" s="732" t="s">
        <v>101</v>
      </c>
      <c r="AV702" s="731" t="s">
        <v>103</v>
      </c>
      <c r="AW702" s="731" t="s">
        <v>870</v>
      </c>
      <c r="AX702" s="731" t="s">
        <v>99</v>
      </c>
      <c r="AY702" s="732" t="s">
        <v>863</v>
      </c>
    </row>
    <row r="703" spans="2:65" s="163" customFormat="1" ht="14.4" customHeight="1" x14ac:dyDescent="0.25">
      <c r="B703" s="702"/>
      <c r="C703" s="738" t="s">
        <v>1399</v>
      </c>
      <c r="D703" s="738" t="s">
        <v>298</v>
      </c>
      <c r="E703" s="739" t="s">
        <v>1400</v>
      </c>
      <c r="F703" s="740" t="s">
        <v>1401</v>
      </c>
      <c r="G703" s="741" t="s">
        <v>140</v>
      </c>
      <c r="H703" s="742">
        <v>1.53</v>
      </c>
      <c r="I703" s="743"/>
      <c r="J703" s="743">
        <f>ROUND(I703*H703,2)</f>
        <v>0</v>
      </c>
      <c r="K703" s="740" t="s">
        <v>2622</v>
      </c>
      <c r="L703" s="744"/>
      <c r="M703" s="745" t="s">
        <v>725</v>
      </c>
      <c r="N703" s="746" t="s">
        <v>813</v>
      </c>
      <c r="O703" s="711">
        <v>0</v>
      </c>
      <c r="P703" s="711">
        <f>O703*H703</f>
        <v>0</v>
      </c>
      <c r="Q703" s="711">
        <v>4.8399999999999999E-2</v>
      </c>
      <c r="R703" s="711">
        <f>Q703*H703</f>
        <v>7.4051999999999993E-2</v>
      </c>
      <c r="S703" s="711">
        <v>0</v>
      </c>
      <c r="T703" s="712">
        <f>S703*H703</f>
        <v>0</v>
      </c>
      <c r="AR703" s="668" t="s">
        <v>111</v>
      </c>
      <c r="AT703" s="668" t="s">
        <v>298</v>
      </c>
      <c r="AU703" s="668" t="s">
        <v>101</v>
      </c>
      <c r="AY703" s="157" t="s">
        <v>863</v>
      </c>
      <c r="BE703" s="713">
        <f>IF(N703="základní",J703,0)</f>
        <v>0</v>
      </c>
      <c r="BF703" s="713">
        <f>IF(N703="snížená",J703,0)</f>
        <v>0</v>
      </c>
      <c r="BG703" s="713">
        <f>IF(N703="zákl. přenesená",J703,0)</f>
        <v>0</v>
      </c>
      <c r="BH703" s="713">
        <f>IF(N703="sníž. přenesená",J703,0)</f>
        <v>0</v>
      </c>
      <c r="BI703" s="713">
        <f>IF(N703="nulová",J703,0)</f>
        <v>0</v>
      </c>
      <c r="BJ703" s="157" t="s">
        <v>99</v>
      </c>
      <c r="BK703" s="713">
        <f>ROUND(I703*H703,2)</f>
        <v>0</v>
      </c>
      <c r="BL703" s="157" t="s">
        <v>103</v>
      </c>
      <c r="BM703" s="668" t="s">
        <v>1402</v>
      </c>
    </row>
    <row r="704" spans="2:65" s="723" customFormat="1" ht="11.4" x14ac:dyDescent="0.25">
      <c r="B704" s="722"/>
      <c r="D704" s="716" t="s">
        <v>868</v>
      </c>
      <c r="E704" s="724" t="s">
        <v>725</v>
      </c>
      <c r="F704" s="725" t="s">
        <v>1397</v>
      </c>
      <c r="H704" s="726">
        <v>1.5</v>
      </c>
      <c r="K704" s="727"/>
      <c r="L704" s="722"/>
      <c r="M704" s="728"/>
      <c r="T704" s="729"/>
      <c r="AT704" s="724" t="s">
        <v>868</v>
      </c>
      <c r="AU704" s="724" t="s">
        <v>101</v>
      </c>
      <c r="AV704" s="723" t="s">
        <v>101</v>
      </c>
      <c r="AW704" s="723" t="s">
        <v>870</v>
      </c>
      <c r="AX704" s="723" t="s">
        <v>99</v>
      </c>
      <c r="AY704" s="724" t="s">
        <v>863</v>
      </c>
    </row>
    <row r="705" spans="2:65" s="723" customFormat="1" ht="11.4" x14ac:dyDescent="0.25">
      <c r="B705" s="722"/>
      <c r="D705" s="716" t="s">
        <v>868</v>
      </c>
      <c r="F705" s="725" t="s">
        <v>1403</v>
      </c>
      <c r="H705" s="726">
        <v>1.53</v>
      </c>
      <c r="K705" s="727"/>
      <c r="L705" s="722"/>
      <c r="M705" s="728"/>
      <c r="T705" s="729"/>
      <c r="AT705" s="724" t="s">
        <v>868</v>
      </c>
      <c r="AU705" s="724" t="s">
        <v>101</v>
      </c>
      <c r="AV705" s="723" t="s">
        <v>101</v>
      </c>
      <c r="AW705" s="723" t="s">
        <v>699</v>
      </c>
      <c r="AX705" s="723" t="s">
        <v>99</v>
      </c>
      <c r="AY705" s="724" t="s">
        <v>863</v>
      </c>
    </row>
    <row r="706" spans="2:65" s="163" customFormat="1" ht="14.4" customHeight="1" x14ac:dyDescent="0.25">
      <c r="B706" s="702"/>
      <c r="C706" s="738" t="s">
        <v>1404</v>
      </c>
      <c r="D706" s="738" t="s">
        <v>298</v>
      </c>
      <c r="E706" s="739" t="s">
        <v>1405</v>
      </c>
      <c r="F706" s="740" t="s">
        <v>1406</v>
      </c>
      <c r="G706" s="741" t="s">
        <v>140</v>
      </c>
      <c r="H706" s="742">
        <v>2.04</v>
      </c>
      <c r="I706" s="743"/>
      <c r="J706" s="743">
        <f>ROUND(I706*H706,2)</f>
        <v>0</v>
      </c>
      <c r="K706" s="740" t="s">
        <v>2622</v>
      </c>
      <c r="L706" s="744"/>
      <c r="M706" s="745" t="s">
        <v>725</v>
      </c>
      <c r="N706" s="746" t="s">
        <v>813</v>
      </c>
      <c r="O706" s="711">
        <v>0</v>
      </c>
      <c r="P706" s="711">
        <f>O706*H706</f>
        <v>0</v>
      </c>
      <c r="Q706" s="711">
        <v>6.5670000000000006E-2</v>
      </c>
      <c r="R706" s="711">
        <f>Q706*H706</f>
        <v>0.13396680000000002</v>
      </c>
      <c r="S706" s="711">
        <v>0</v>
      </c>
      <c r="T706" s="712">
        <f>S706*H706</f>
        <v>0</v>
      </c>
      <c r="AR706" s="668" t="s">
        <v>111</v>
      </c>
      <c r="AT706" s="668" t="s">
        <v>298</v>
      </c>
      <c r="AU706" s="668" t="s">
        <v>101</v>
      </c>
      <c r="AY706" s="157" t="s">
        <v>863</v>
      </c>
      <c r="BE706" s="713">
        <f>IF(N706="základní",J706,0)</f>
        <v>0</v>
      </c>
      <c r="BF706" s="713">
        <f>IF(N706="snížená",J706,0)</f>
        <v>0</v>
      </c>
      <c r="BG706" s="713">
        <f>IF(N706="zákl. přenesená",J706,0)</f>
        <v>0</v>
      </c>
      <c r="BH706" s="713">
        <f>IF(N706="sníž. přenesená",J706,0)</f>
        <v>0</v>
      </c>
      <c r="BI706" s="713">
        <f>IF(N706="nulová",J706,0)</f>
        <v>0</v>
      </c>
      <c r="BJ706" s="157" t="s">
        <v>99</v>
      </c>
      <c r="BK706" s="713">
        <f>ROUND(I706*H706,2)</f>
        <v>0</v>
      </c>
      <c r="BL706" s="157" t="s">
        <v>103</v>
      </c>
      <c r="BM706" s="668" t="s">
        <v>1407</v>
      </c>
    </row>
    <row r="707" spans="2:65" s="723" customFormat="1" ht="11.4" x14ac:dyDescent="0.25">
      <c r="B707" s="722"/>
      <c r="D707" s="716" t="s">
        <v>868</v>
      </c>
      <c r="E707" s="724" t="s">
        <v>725</v>
      </c>
      <c r="F707" s="725" t="s">
        <v>1398</v>
      </c>
      <c r="H707" s="726">
        <v>2</v>
      </c>
      <c r="K707" s="727"/>
      <c r="L707" s="722"/>
      <c r="M707" s="728"/>
      <c r="T707" s="729"/>
      <c r="AT707" s="724" t="s">
        <v>868</v>
      </c>
      <c r="AU707" s="724" t="s">
        <v>101</v>
      </c>
      <c r="AV707" s="723" t="s">
        <v>101</v>
      </c>
      <c r="AW707" s="723" t="s">
        <v>870</v>
      </c>
      <c r="AX707" s="723" t="s">
        <v>99</v>
      </c>
      <c r="AY707" s="724" t="s">
        <v>863</v>
      </c>
    </row>
    <row r="708" spans="2:65" s="723" customFormat="1" ht="11.4" x14ac:dyDescent="0.25">
      <c r="B708" s="722"/>
      <c r="D708" s="716" t="s">
        <v>868</v>
      </c>
      <c r="F708" s="725" t="s">
        <v>1408</v>
      </c>
      <c r="H708" s="726">
        <v>2.04</v>
      </c>
      <c r="K708" s="727"/>
      <c r="L708" s="722"/>
      <c r="M708" s="728"/>
      <c r="T708" s="729"/>
      <c r="AT708" s="724" t="s">
        <v>868</v>
      </c>
      <c r="AU708" s="724" t="s">
        <v>101</v>
      </c>
      <c r="AV708" s="723" t="s">
        <v>101</v>
      </c>
      <c r="AW708" s="723" t="s">
        <v>699</v>
      </c>
      <c r="AX708" s="723" t="s">
        <v>99</v>
      </c>
      <c r="AY708" s="724" t="s">
        <v>863</v>
      </c>
    </row>
    <row r="709" spans="2:65" s="163" customFormat="1" ht="14.4" customHeight="1" x14ac:dyDescent="0.25">
      <c r="B709" s="702"/>
      <c r="C709" s="738" t="s">
        <v>1409</v>
      </c>
      <c r="D709" s="738" t="s">
        <v>298</v>
      </c>
      <c r="E709" s="739" t="s">
        <v>1410</v>
      </c>
      <c r="F709" s="740" t="s">
        <v>1411</v>
      </c>
      <c r="G709" s="741" t="s">
        <v>140</v>
      </c>
      <c r="H709" s="742">
        <v>47.460999999999999</v>
      </c>
      <c r="I709" s="743"/>
      <c r="J709" s="743">
        <f>ROUND(I709*H709,2)</f>
        <v>0</v>
      </c>
      <c r="K709" s="740" t="s">
        <v>2622</v>
      </c>
      <c r="L709" s="744"/>
      <c r="M709" s="745" t="s">
        <v>725</v>
      </c>
      <c r="N709" s="746" t="s">
        <v>813</v>
      </c>
      <c r="O709" s="711">
        <v>0</v>
      </c>
      <c r="P709" s="711">
        <f>O709*H709</f>
        <v>0</v>
      </c>
      <c r="Q709" s="711">
        <v>0.08</v>
      </c>
      <c r="R709" s="711">
        <f>Q709*H709</f>
        <v>3.7968799999999998</v>
      </c>
      <c r="S709" s="711">
        <v>0</v>
      </c>
      <c r="T709" s="712">
        <f>S709*H709</f>
        <v>0</v>
      </c>
      <c r="AR709" s="668" t="s">
        <v>111</v>
      </c>
      <c r="AT709" s="668" t="s">
        <v>298</v>
      </c>
      <c r="AU709" s="668" t="s">
        <v>101</v>
      </c>
      <c r="AY709" s="157" t="s">
        <v>863</v>
      </c>
      <c r="BE709" s="713">
        <f>IF(N709="základní",J709,0)</f>
        <v>0</v>
      </c>
      <c r="BF709" s="713">
        <f>IF(N709="snížená",J709,0)</f>
        <v>0</v>
      </c>
      <c r="BG709" s="713">
        <f>IF(N709="zákl. přenesená",J709,0)</f>
        <v>0</v>
      </c>
      <c r="BH709" s="713">
        <f>IF(N709="sníž. přenesená",J709,0)</f>
        <v>0</v>
      </c>
      <c r="BI709" s="713">
        <f>IF(N709="nulová",J709,0)</f>
        <v>0</v>
      </c>
      <c r="BJ709" s="157" t="s">
        <v>99</v>
      </c>
      <c r="BK709" s="713">
        <f>ROUND(I709*H709,2)</f>
        <v>0</v>
      </c>
      <c r="BL709" s="157" t="s">
        <v>103</v>
      </c>
      <c r="BM709" s="668" t="s">
        <v>1412</v>
      </c>
    </row>
    <row r="710" spans="2:65" s="723" customFormat="1" ht="11.4" x14ac:dyDescent="0.25">
      <c r="B710" s="722"/>
      <c r="D710" s="716" t="s">
        <v>868</v>
      </c>
      <c r="E710" s="724" t="s">
        <v>725</v>
      </c>
      <c r="F710" s="725" t="s">
        <v>1396</v>
      </c>
      <c r="H710" s="726">
        <v>46.53</v>
      </c>
      <c r="K710" s="727"/>
      <c r="L710" s="722"/>
      <c r="M710" s="728"/>
      <c r="T710" s="729"/>
      <c r="AT710" s="724" t="s">
        <v>868</v>
      </c>
      <c r="AU710" s="724" t="s">
        <v>101</v>
      </c>
      <c r="AV710" s="723" t="s">
        <v>101</v>
      </c>
      <c r="AW710" s="723" t="s">
        <v>870</v>
      </c>
      <c r="AX710" s="723" t="s">
        <v>99</v>
      </c>
      <c r="AY710" s="724" t="s">
        <v>863</v>
      </c>
    </row>
    <row r="711" spans="2:65" s="723" customFormat="1" ht="11.4" x14ac:dyDescent="0.25">
      <c r="B711" s="722"/>
      <c r="D711" s="716" t="s">
        <v>868</v>
      </c>
      <c r="F711" s="725" t="s">
        <v>1413</v>
      </c>
      <c r="H711" s="726">
        <v>47.460999999999999</v>
      </c>
      <c r="K711" s="727"/>
      <c r="L711" s="722"/>
      <c r="M711" s="728"/>
      <c r="T711" s="729"/>
      <c r="AT711" s="724" t="s">
        <v>868</v>
      </c>
      <c r="AU711" s="724" t="s">
        <v>101</v>
      </c>
      <c r="AV711" s="723" t="s">
        <v>101</v>
      </c>
      <c r="AW711" s="723" t="s">
        <v>699</v>
      </c>
      <c r="AX711" s="723" t="s">
        <v>99</v>
      </c>
      <c r="AY711" s="724" t="s">
        <v>863</v>
      </c>
    </row>
    <row r="712" spans="2:65" s="163" customFormat="1" ht="38.4" customHeight="1" x14ac:dyDescent="0.25">
      <c r="B712" s="702"/>
      <c r="C712" s="703" t="s">
        <v>1414</v>
      </c>
      <c r="D712" s="703" t="s">
        <v>864</v>
      </c>
      <c r="E712" s="704" t="s">
        <v>1415</v>
      </c>
      <c r="F712" s="705" t="s">
        <v>1416</v>
      </c>
      <c r="G712" s="706" t="s">
        <v>140</v>
      </c>
      <c r="H712" s="707">
        <v>3.02</v>
      </c>
      <c r="I712" s="708"/>
      <c r="J712" s="708">
        <f>ROUND(I712*H712,2)</f>
        <v>0</v>
      </c>
      <c r="K712" s="705" t="s">
        <v>2622</v>
      </c>
      <c r="L712" s="164"/>
      <c r="M712" s="709" t="s">
        <v>725</v>
      </c>
      <c r="N712" s="710" t="s">
        <v>813</v>
      </c>
      <c r="O712" s="711">
        <v>0.309</v>
      </c>
      <c r="P712" s="711">
        <f>O712*H712</f>
        <v>0.93318000000000001</v>
      </c>
      <c r="Q712" s="711">
        <v>0.16849</v>
      </c>
      <c r="R712" s="711">
        <f>Q712*H712</f>
        <v>0.50883979999999995</v>
      </c>
      <c r="S712" s="711">
        <v>0</v>
      </c>
      <c r="T712" s="712">
        <f>S712*H712</f>
        <v>0</v>
      </c>
      <c r="AR712" s="668" t="s">
        <v>103</v>
      </c>
      <c r="AT712" s="668" t="s">
        <v>864</v>
      </c>
      <c r="AU712" s="668" t="s">
        <v>101</v>
      </c>
      <c r="AY712" s="157" t="s">
        <v>863</v>
      </c>
      <c r="BE712" s="713">
        <f>IF(N712="základní",J712,0)</f>
        <v>0</v>
      </c>
      <c r="BF712" s="713">
        <f>IF(N712="snížená",J712,0)</f>
        <v>0</v>
      </c>
      <c r="BG712" s="713">
        <f>IF(N712="zákl. přenesená",J712,0)</f>
        <v>0</v>
      </c>
      <c r="BH712" s="713">
        <f>IF(N712="sníž. přenesená",J712,0)</f>
        <v>0</v>
      </c>
      <c r="BI712" s="713">
        <f>IF(N712="nulová",J712,0)</f>
        <v>0</v>
      </c>
      <c r="BJ712" s="157" t="s">
        <v>99</v>
      </c>
      <c r="BK712" s="713">
        <f>ROUND(I712*H712,2)</f>
        <v>0</v>
      </c>
      <c r="BL712" s="157" t="s">
        <v>103</v>
      </c>
      <c r="BM712" s="668" t="s">
        <v>1417</v>
      </c>
    </row>
    <row r="713" spans="2:65" s="715" customFormat="1" ht="11.4" x14ac:dyDescent="0.25">
      <c r="B713" s="714"/>
      <c r="D713" s="716" t="s">
        <v>868</v>
      </c>
      <c r="E713" s="717" t="s">
        <v>725</v>
      </c>
      <c r="F713" s="718" t="s">
        <v>886</v>
      </c>
      <c r="H713" s="717" t="s">
        <v>725</v>
      </c>
      <c r="K713" s="719"/>
      <c r="L713" s="714"/>
      <c r="M713" s="720"/>
      <c r="T713" s="721"/>
      <c r="AT713" s="717" t="s">
        <v>868</v>
      </c>
      <c r="AU713" s="717" t="s">
        <v>101</v>
      </c>
      <c r="AV713" s="715" t="s">
        <v>99</v>
      </c>
      <c r="AW713" s="715" t="s">
        <v>870</v>
      </c>
      <c r="AX713" s="715" t="s">
        <v>301</v>
      </c>
      <c r="AY713" s="717" t="s">
        <v>863</v>
      </c>
    </row>
    <row r="714" spans="2:65" s="715" customFormat="1" ht="11.4" x14ac:dyDescent="0.25">
      <c r="B714" s="714"/>
      <c r="D714" s="716" t="s">
        <v>868</v>
      </c>
      <c r="E714" s="717" t="s">
        <v>725</v>
      </c>
      <c r="F714" s="718" t="s">
        <v>957</v>
      </c>
      <c r="H714" s="717" t="s">
        <v>725</v>
      </c>
      <c r="K714" s="719"/>
      <c r="L714" s="714"/>
      <c r="M714" s="720"/>
      <c r="T714" s="721"/>
      <c r="AT714" s="717" t="s">
        <v>868</v>
      </c>
      <c r="AU714" s="717" t="s">
        <v>101</v>
      </c>
      <c r="AV714" s="715" t="s">
        <v>99</v>
      </c>
      <c r="AW714" s="715" t="s">
        <v>870</v>
      </c>
      <c r="AX714" s="715" t="s">
        <v>301</v>
      </c>
      <c r="AY714" s="717" t="s">
        <v>863</v>
      </c>
    </row>
    <row r="715" spans="2:65" s="723" customFormat="1" ht="11.4" x14ac:dyDescent="0.25">
      <c r="B715" s="722"/>
      <c r="D715" s="716" t="s">
        <v>868</v>
      </c>
      <c r="E715" s="724" t="s">
        <v>725</v>
      </c>
      <c r="F715" s="725" t="s">
        <v>1418</v>
      </c>
      <c r="H715" s="726">
        <v>3.02</v>
      </c>
      <c r="K715" s="727"/>
      <c r="L715" s="722"/>
      <c r="M715" s="728"/>
      <c r="T715" s="729"/>
      <c r="AT715" s="724" t="s">
        <v>868</v>
      </c>
      <c r="AU715" s="724" t="s">
        <v>101</v>
      </c>
      <c r="AV715" s="723" t="s">
        <v>101</v>
      </c>
      <c r="AW715" s="723" t="s">
        <v>870</v>
      </c>
      <c r="AX715" s="723" t="s">
        <v>301</v>
      </c>
      <c r="AY715" s="724" t="s">
        <v>863</v>
      </c>
    </row>
    <row r="716" spans="2:65" s="731" customFormat="1" ht="11.4" x14ac:dyDescent="0.25">
      <c r="B716" s="730"/>
      <c r="D716" s="716" t="s">
        <v>868</v>
      </c>
      <c r="E716" s="732" t="s">
        <v>725</v>
      </c>
      <c r="F716" s="733" t="s">
        <v>873</v>
      </c>
      <c r="H716" s="734">
        <v>3.02</v>
      </c>
      <c r="K716" s="735"/>
      <c r="L716" s="730"/>
      <c r="M716" s="736"/>
      <c r="T716" s="737"/>
      <c r="AT716" s="732" t="s">
        <v>868</v>
      </c>
      <c r="AU716" s="732" t="s">
        <v>101</v>
      </c>
      <c r="AV716" s="731" t="s">
        <v>103</v>
      </c>
      <c r="AW716" s="731" t="s">
        <v>870</v>
      </c>
      <c r="AX716" s="731" t="s">
        <v>99</v>
      </c>
      <c r="AY716" s="732" t="s">
        <v>863</v>
      </c>
    </row>
    <row r="717" spans="2:65" s="163" customFormat="1" ht="14.4" customHeight="1" x14ac:dyDescent="0.25">
      <c r="B717" s="702"/>
      <c r="C717" s="738" t="s">
        <v>1419</v>
      </c>
      <c r="D717" s="738" t="s">
        <v>298</v>
      </c>
      <c r="E717" s="739" t="s">
        <v>1420</v>
      </c>
      <c r="F717" s="740" t="s">
        <v>1421</v>
      </c>
      <c r="G717" s="741" t="s">
        <v>140</v>
      </c>
      <c r="H717" s="742">
        <v>3.08</v>
      </c>
      <c r="I717" s="743"/>
      <c r="J717" s="743">
        <f>ROUND(I717*H717,2)</f>
        <v>0</v>
      </c>
      <c r="K717" s="740" t="s">
        <v>2622</v>
      </c>
      <c r="L717" s="744"/>
      <c r="M717" s="745" t="s">
        <v>725</v>
      </c>
      <c r="N717" s="746" t="s">
        <v>813</v>
      </c>
      <c r="O717" s="711">
        <v>0</v>
      </c>
      <c r="P717" s="711">
        <f>O717*H717</f>
        <v>0</v>
      </c>
      <c r="Q717" s="711">
        <v>0.15</v>
      </c>
      <c r="R717" s="711">
        <f>Q717*H717</f>
        <v>0.46199999999999997</v>
      </c>
      <c r="S717" s="711">
        <v>0</v>
      </c>
      <c r="T717" s="712">
        <f>S717*H717</f>
        <v>0</v>
      </c>
      <c r="AR717" s="668" t="s">
        <v>111</v>
      </c>
      <c r="AT717" s="668" t="s">
        <v>298</v>
      </c>
      <c r="AU717" s="668" t="s">
        <v>101</v>
      </c>
      <c r="AY717" s="157" t="s">
        <v>863</v>
      </c>
      <c r="BE717" s="713">
        <f>IF(N717="základní",J717,0)</f>
        <v>0</v>
      </c>
      <c r="BF717" s="713">
        <f>IF(N717="snížená",J717,0)</f>
        <v>0</v>
      </c>
      <c r="BG717" s="713">
        <f>IF(N717="zákl. přenesená",J717,0)</f>
        <v>0</v>
      </c>
      <c r="BH717" s="713">
        <f>IF(N717="sníž. přenesená",J717,0)</f>
        <v>0</v>
      </c>
      <c r="BI717" s="713">
        <f>IF(N717="nulová",J717,0)</f>
        <v>0</v>
      </c>
      <c r="BJ717" s="157" t="s">
        <v>99</v>
      </c>
      <c r="BK717" s="713">
        <f>ROUND(I717*H717,2)</f>
        <v>0</v>
      </c>
      <c r="BL717" s="157" t="s">
        <v>103</v>
      </c>
      <c r="BM717" s="668" t="s">
        <v>1422</v>
      </c>
    </row>
    <row r="718" spans="2:65" s="723" customFormat="1" ht="11.4" x14ac:dyDescent="0.25">
      <c r="B718" s="722"/>
      <c r="D718" s="716" t="s">
        <v>868</v>
      </c>
      <c r="F718" s="725" t="s">
        <v>1423</v>
      </c>
      <c r="H718" s="726">
        <v>3.08</v>
      </c>
      <c r="K718" s="727"/>
      <c r="L718" s="722"/>
      <c r="M718" s="728"/>
      <c r="T718" s="729"/>
      <c r="AT718" s="724" t="s">
        <v>868</v>
      </c>
      <c r="AU718" s="724" t="s">
        <v>101</v>
      </c>
      <c r="AV718" s="723" t="s">
        <v>101</v>
      </c>
      <c r="AW718" s="723" t="s">
        <v>699</v>
      </c>
      <c r="AX718" s="723" t="s">
        <v>99</v>
      </c>
      <c r="AY718" s="724" t="s">
        <v>863</v>
      </c>
    </row>
    <row r="719" spans="2:65" s="163" customFormat="1" ht="39.6" customHeight="1" x14ac:dyDescent="0.25">
      <c r="B719" s="702"/>
      <c r="C719" s="703" t="s">
        <v>1424</v>
      </c>
      <c r="D719" s="703" t="s">
        <v>864</v>
      </c>
      <c r="E719" s="704" t="s">
        <v>1425</v>
      </c>
      <c r="F719" s="705" t="s">
        <v>1426</v>
      </c>
      <c r="G719" s="706" t="s">
        <v>140</v>
      </c>
      <c r="H719" s="707">
        <v>663.87</v>
      </c>
      <c r="I719" s="708"/>
      <c r="J719" s="708">
        <f>ROUND(I719*H719,2)</f>
        <v>0</v>
      </c>
      <c r="K719" s="705" t="s">
        <v>2622</v>
      </c>
      <c r="L719" s="164"/>
      <c r="M719" s="709" t="s">
        <v>725</v>
      </c>
      <c r="N719" s="710" t="s">
        <v>813</v>
      </c>
      <c r="O719" s="711">
        <v>0.23400000000000001</v>
      </c>
      <c r="P719" s="711">
        <f>O719*H719</f>
        <v>155.34558000000001</v>
      </c>
      <c r="Q719" s="711">
        <v>0.14066999999999999</v>
      </c>
      <c r="R719" s="711">
        <f>Q719*H719</f>
        <v>93.386592899999997</v>
      </c>
      <c r="S719" s="711">
        <v>0</v>
      </c>
      <c r="T719" s="712">
        <f>S719*H719</f>
        <v>0</v>
      </c>
      <c r="AR719" s="668" t="s">
        <v>103</v>
      </c>
      <c r="AT719" s="668" t="s">
        <v>864</v>
      </c>
      <c r="AU719" s="668" t="s">
        <v>101</v>
      </c>
      <c r="AY719" s="157" t="s">
        <v>863</v>
      </c>
      <c r="BE719" s="713">
        <f>IF(N719="základní",J719,0)</f>
        <v>0</v>
      </c>
      <c r="BF719" s="713">
        <f>IF(N719="snížená",J719,0)</f>
        <v>0</v>
      </c>
      <c r="BG719" s="713">
        <f>IF(N719="zákl. přenesená",J719,0)</f>
        <v>0</v>
      </c>
      <c r="BH719" s="713">
        <f>IF(N719="sníž. přenesená",J719,0)</f>
        <v>0</v>
      </c>
      <c r="BI719" s="713">
        <f>IF(N719="nulová",J719,0)</f>
        <v>0</v>
      </c>
      <c r="BJ719" s="157" t="s">
        <v>99</v>
      </c>
      <c r="BK719" s="713">
        <f>ROUND(I719*H719,2)</f>
        <v>0</v>
      </c>
      <c r="BL719" s="157" t="s">
        <v>103</v>
      </c>
      <c r="BM719" s="668" t="s">
        <v>1427</v>
      </c>
    </row>
    <row r="720" spans="2:65" s="715" customFormat="1" ht="11.4" x14ac:dyDescent="0.25">
      <c r="B720" s="714"/>
      <c r="D720" s="716" t="s">
        <v>868</v>
      </c>
      <c r="E720" s="717" t="s">
        <v>725</v>
      </c>
      <c r="F720" s="718" t="s">
        <v>1395</v>
      </c>
      <c r="H720" s="717" t="s">
        <v>725</v>
      </c>
      <c r="K720" s="719"/>
      <c r="L720" s="714"/>
      <c r="M720" s="720"/>
      <c r="T720" s="721"/>
      <c r="AT720" s="717" t="s">
        <v>868</v>
      </c>
      <c r="AU720" s="717" t="s">
        <v>101</v>
      </c>
      <c r="AV720" s="715" t="s">
        <v>99</v>
      </c>
      <c r="AW720" s="715" t="s">
        <v>870</v>
      </c>
      <c r="AX720" s="715" t="s">
        <v>301</v>
      </c>
      <c r="AY720" s="717" t="s">
        <v>863</v>
      </c>
    </row>
    <row r="721" spans="2:65" s="723" customFormat="1" ht="20.399999999999999" x14ac:dyDescent="0.25">
      <c r="B721" s="722"/>
      <c r="D721" s="716" t="s">
        <v>868</v>
      </c>
      <c r="E721" s="724" t="s">
        <v>725</v>
      </c>
      <c r="F721" s="725" t="s">
        <v>1428</v>
      </c>
      <c r="H721" s="726">
        <v>336.87</v>
      </c>
      <c r="K721" s="727"/>
      <c r="L721" s="722"/>
      <c r="M721" s="728"/>
      <c r="T721" s="729"/>
      <c r="AT721" s="724" t="s">
        <v>868</v>
      </c>
      <c r="AU721" s="724" t="s">
        <v>101</v>
      </c>
      <c r="AV721" s="723" t="s">
        <v>101</v>
      </c>
      <c r="AW721" s="723" t="s">
        <v>870</v>
      </c>
      <c r="AX721" s="723" t="s">
        <v>301</v>
      </c>
      <c r="AY721" s="724" t="s">
        <v>863</v>
      </c>
    </row>
    <row r="722" spans="2:65" s="748" customFormat="1" ht="11.4" x14ac:dyDescent="0.25">
      <c r="B722" s="747"/>
      <c r="D722" s="716" t="s">
        <v>868</v>
      </c>
      <c r="E722" s="749" t="s">
        <v>725</v>
      </c>
      <c r="F722" s="750" t="s">
        <v>1429</v>
      </c>
      <c r="H722" s="751">
        <v>336.87</v>
      </c>
      <c r="K722" s="752"/>
      <c r="L722" s="747"/>
      <c r="M722" s="753"/>
      <c r="T722" s="754"/>
      <c r="AT722" s="749" t="s">
        <v>868</v>
      </c>
      <c r="AU722" s="749" t="s">
        <v>101</v>
      </c>
      <c r="AV722" s="748" t="s">
        <v>102</v>
      </c>
      <c r="AW722" s="748" t="s">
        <v>870</v>
      </c>
      <c r="AX722" s="748" t="s">
        <v>301</v>
      </c>
      <c r="AY722" s="749" t="s">
        <v>863</v>
      </c>
    </row>
    <row r="723" spans="2:65" s="723" customFormat="1" ht="20.399999999999999" x14ac:dyDescent="0.25">
      <c r="B723" s="722"/>
      <c r="D723" s="716" t="s">
        <v>868</v>
      </c>
      <c r="E723" s="724" t="s">
        <v>725</v>
      </c>
      <c r="F723" s="725" t="s">
        <v>1430</v>
      </c>
      <c r="H723" s="726">
        <v>200.21</v>
      </c>
      <c r="K723" s="727"/>
      <c r="L723" s="722"/>
      <c r="M723" s="728"/>
      <c r="T723" s="729"/>
      <c r="AT723" s="724" t="s">
        <v>868</v>
      </c>
      <c r="AU723" s="724" t="s">
        <v>101</v>
      </c>
      <c r="AV723" s="723" t="s">
        <v>101</v>
      </c>
      <c r="AW723" s="723" t="s">
        <v>870</v>
      </c>
      <c r="AX723" s="723" t="s">
        <v>301</v>
      </c>
      <c r="AY723" s="724" t="s">
        <v>863</v>
      </c>
    </row>
    <row r="724" spans="2:65" s="723" customFormat="1" ht="20.399999999999999" x14ac:dyDescent="0.25">
      <c r="B724" s="722"/>
      <c r="D724" s="716" t="s">
        <v>868</v>
      </c>
      <c r="E724" s="724" t="s">
        <v>725</v>
      </c>
      <c r="F724" s="725" t="s">
        <v>1431</v>
      </c>
      <c r="H724" s="726">
        <v>126.79</v>
      </c>
      <c r="K724" s="727"/>
      <c r="L724" s="722"/>
      <c r="M724" s="728"/>
      <c r="T724" s="729"/>
      <c r="AT724" s="724" t="s">
        <v>868</v>
      </c>
      <c r="AU724" s="724" t="s">
        <v>101</v>
      </c>
      <c r="AV724" s="723" t="s">
        <v>101</v>
      </c>
      <c r="AW724" s="723" t="s">
        <v>870</v>
      </c>
      <c r="AX724" s="723" t="s">
        <v>301</v>
      </c>
      <c r="AY724" s="724" t="s">
        <v>863</v>
      </c>
    </row>
    <row r="725" spans="2:65" s="748" customFormat="1" ht="11.4" x14ac:dyDescent="0.25">
      <c r="B725" s="747"/>
      <c r="D725" s="716" t="s">
        <v>868</v>
      </c>
      <c r="E725" s="749" t="s">
        <v>725</v>
      </c>
      <c r="F725" s="750" t="s">
        <v>1432</v>
      </c>
      <c r="H725" s="751">
        <v>327</v>
      </c>
      <c r="K725" s="752"/>
      <c r="L725" s="747"/>
      <c r="M725" s="753"/>
      <c r="T725" s="754"/>
      <c r="AT725" s="749" t="s">
        <v>868</v>
      </c>
      <c r="AU725" s="749" t="s">
        <v>101</v>
      </c>
      <c r="AV725" s="748" t="s">
        <v>102</v>
      </c>
      <c r="AW725" s="748" t="s">
        <v>870</v>
      </c>
      <c r="AX725" s="748" t="s">
        <v>301</v>
      </c>
      <c r="AY725" s="749" t="s">
        <v>863</v>
      </c>
    </row>
    <row r="726" spans="2:65" s="731" customFormat="1" ht="11.4" x14ac:dyDescent="0.25">
      <c r="B726" s="730"/>
      <c r="D726" s="716" t="s">
        <v>868</v>
      </c>
      <c r="E726" s="732" t="s">
        <v>725</v>
      </c>
      <c r="F726" s="733" t="s">
        <v>873</v>
      </c>
      <c r="H726" s="734">
        <v>663.87</v>
      </c>
      <c r="K726" s="735"/>
      <c r="L726" s="730"/>
      <c r="M726" s="736"/>
      <c r="T726" s="737"/>
      <c r="AT726" s="732" t="s">
        <v>868</v>
      </c>
      <c r="AU726" s="732" t="s">
        <v>101</v>
      </c>
      <c r="AV726" s="731" t="s">
        <v>103</v>
      </c>
      <c r="AW726" s="731" t="s">
        <v>870</v>
      </c>
      <c r="AX726" s="731" t="s">
        <v>99</v>
      </c>
      <c r="AY726" s="732" t="s">
        <v>863</v>
      </c>
    </row>
    <row r="727" spans="2:65" s="163" customFormat="1" ht="14.4" customHeight="1" x14ac:dyDescent="0.25">
      <c r="B727" s="702"/>
      <c r="C727" s="738" t="s">
        <v>1433</v>
      </c>
      <c r="D727" s="738" t="s">
        <v>298</v>
      </c>
      <c r="E727" s="739" t="s">
        <v>1434</v>
      </c>
      <c r="F727" s="740" t="s">
        <v>1435</v>
      </c>
      <c r="G727" s="741" t="s">
        <v>140</v>
      </c>
      <c r="H727" s="742">
        <v>333.54</v>
      </c>
      <c r="I727" s="743"/>
      <c r="J727" s="743">
        <f>ROUND(I727*H727,2)</f>
        <v>0</v>
      </c>
      <c r="K727" s="740" t="s">
        <v>2622</v>
      </c>
      <c r="L727" s="744"/>
      <c r="M727" s="745" t="s">
        <v>725</v>
      </c>
      <c r="N727" s="746" t="s">
        <v>813</v>
      </c>
      <c r="O727" s="711">
        <v>0</v>
      </c>
      <c r="P727" s="711">
        <f>O727*H727</f>
        <v>0</v>
      </c>
      <c r="Q727" s="711">
        <v>0.125</v>
      </c>
      <c r="R727" s="711">
        <f>Q727*H727</f>
        <v>41.692500000000003</v>
      </c>
      <c r="S727" s="711">
        <v>0</v>
      </c>
      <c r="T727" s="712">
        <f>S727*H727</f>
        <v>0</v>
      </c>
      <c r="AR727" s="668" t="s">
        <v>111</v>
      </c>
      <c r="AT727" s="668" t="s">
        <v>298</v>
      </c>
      <c r="AU727" s="668" t="s">
        <v>101</v>
      </c>
      <c r="AY727" s="157" t="s">
        <v>863</v>
      </c>
      <c r="BE727" s="713">
        <f>IF(N727="základní",J727,0)</f>
        <v>0</v>
      </c>
      <c r="BF727" s="713">
        <f>IF(N727="snížená",J727,0)</f>
        <v>0</v>
      </c>
      <c r="BG727" s="713">
        <f>IF(N727="zákl. přenesená",J727,0)</f>
        <v>0</v>
      </c>
      <c r="BH727" s="713">
        <f>IF(N727="sníž. přenesená",J727,0)</f>
        <v>0</v>
      </c>
      <c r="BI727" s="713">
        <f>IF(N727="nulová",J727,0)</f>
        <v>0</v>
      </c>
      <c r="BJ727" s="157" t="s">
        <v>99</v>
      </c>
      <c r="BK727" s="713">
        <f>ROUND(I727*H727,2)</f>
        <v>0</v>
      </c>
      <c r="BL727" s="157" t="s">
        <v>103</v>
      </c>
      <c r="BM727" s="668" t="s">
        <v>1436</v>
      </c>
    </row>
    <row r="728" spans="2:65" s="723" customFormat="1" ht="11.4" x14ac:dyDescent="0.25">
      <c r="B728" s="722"/>
      <c r="D728" s="716" t="s">
        <v>868</v>
      </c>
      <c r="F728" s="725" t="s">
        <v>1437</v>
      </c>
      <c r="H728" s="726">
        <v>333.54</v>
      </c>
      <c r="K728" s="727"/>
      <c r="L728" s="722"/>
      <c r="M728" s="728"/>
      <c r="T728" s="729"/>
      <c r="AT728" s="724" t="s">
        <v>868</v>
      </c>
      <c r="AU728" s="724" t="s">
        <v>101</v>
      </c>
      <c r="AV728" s="723" t="s">
        <v>101</v>
      </c>
      <c r="AW728" s="723" t="s">
        <v>699</v>
      </c>
      <c r="AX728" s="723" t="s">
        <v>99</v>
      </c>
      <c r="AY728" s="724" t="s">
        <v>863</v>
      </c>
    </row>
    <row r="729" spans="2:65" s="163" customFormat="1" ht="14.4" customHeight="1" x14ac:dyDescent="0.25">
      <c r="B729" s="702"/>
      <c r="C729" s="738" t="s">
        <v>1438</v>
      </c>
      <c r="D729" s="738" t="s">
        <v>298</v>
      </c>
      <c r="E729" s="739" t="s">
        <v>1439</v>
      </c>
      <c r="F729" s="740" t="s">
        <v>1440</v>
      </c>
      <c r="G729" s="741" t="s">
        <v>140</v>
      </c>
      <c r="H729" s="742">
        <v>343.60700000000003</v>
      </c>
      <c r="I729" s="743"/>
      <c r="J729" s="743">
        <f>ROUND(I729*H729,2)</f>
        <v>0</v>
      </c>
      <c r="K729" s="740" t="s">
        <v>2622</v>
      </c>
      <c r="L729" s="744"/>
      <c r="M729" s="745" t="s">
        <v>725</v>
      </c>
      <c r="N729" s="746" t="s">
        <v>813</v>
      </c>
      <c r="O729" s="711">
        <v>0</v>
      </c>
      <c r="P729" s="711">
        <f>O729*H729</f>
        <v>0</v>
      </c>
      <c r="Q729" s="711">
        <v>8.2000000000000003E-2</v>
      </c>
      <c r="R729" s="711">
        <f>Q729*H729</f>
        <v>28.175774000000004</v>
      </c>
      <c r="S729" s="711">
        <v>0</v>
      </c>
      <c r="T729" s="712">
        <f>S729*H729</f>
        <v>0</v>
      </c>
      <c r="AR729" s="668" t="s">
        <v>111</v>
      </c>
      <c r="AT729" s="668" t="s">
        <v>298</v>
      </c>
      <c r="AU729" s="668" t="s">
        <v>101</v>
      </c>
      <c r="AY729" s="157" t="s">
        <v>863</v>
      </c>
      <c r="BE729" s="713">
        <f>IF(N729="základní",J729,0)</f>
        <v>0</v>
      </c>
      <c r="BF729" s="713">
        <f>IF(N729="snížená",J729,0)</f>
        <v>0</v>
      </c>
      <c r="BG729" s="713">
        <f>IF(N729="zákl. přenesená",J729,0)</f>
        <v>0</v>
      </c>
      <c r="BH729" s="713">
        <f>IF(N729="sníž. přenesená",J729,0)</f>
        <v>0</v>
      </c>
      <c r="BI729" s="713">
        <f>IF(N729="nulová",J729,0)</f>
        <v>0</v>
      </c>
      <c r="BJ729" s="157" t="s">
        <v>99</v>
      </c>
      <c r="BK729" s="713">
        <f>ROUND(I729*H729,2)</f>
        <v>0</v>
      </c>
      <c r="BL729" s="157" t="s">
        <v>103</v>
      </c>
      <c r="BM729" s="668" t="s">
        <v>1441</v>
      </c>
    </row>
    <row r="730" spans="2:65" s="723" customFormat="1" ht="11.4" x14ac:dyDescent="0.25">
      <c r="B730" s="722"/>
      <c r="D730" s="716" t="s">
        <v>868</v>
      </c>
      <c r="F730" s="725" t="s">
        <v>1442</v>
      </c>
      <c r="H730" s="726">
        <v>343.60700000000003</v>
      </c>
      <c r="K730" s="727"/>
      <c r="L730" s="722"/>
      <c r="M730" s="728"/>
      <c r="T730" s="729"/>
      <c r="AT730" s="724" t="s">
        <v>868</v>
      </c>
      <c r="AU730" s="724" t="s">
        <v>101</v>
      </c>
      <c r="AV730" s="723" t="s">
        <v>101</v>
      </c>
      <c r="AW730" s="723" t="s">
        <v>699</v>
      </c>
      <c r="AX730" s="723" t="s">
        <v>99</v>
      </c>
      <c r="AY730" s="724" t="s">
        <v>863</v>
      </c>
    </row>
    <row r="731" spans="2:65" s="163" customFormat="1" ht="24.15" customHeight="1" x14ac:dyDescent="0.25">
      <c r="B731" s="702"/>
      <c r="C731" s="703" t="s">
        <v>1443</v>
      </c>
      <c r="D731" s="703" t="s">
        <v>864</v>
      </c>
      <c r="E731" s="704" t="s">
        <v>1444</v>
      </c>
      <c r="F731" s="705" t="s">
        <v>1445</v>
      </c>
      <c r="G731" s="706" t="s">
        <v>140</v>
      </c>
      <c r="H731" s="707">
        <v>93.89</v>
      </c>
      <c r="I731" s="708"/>
      <c r="J731" s="708">
        <f>ROUND(I731*H731,2)</f>
        <v>0</v>
      </c>
      <c r="K731" s="705" t="s">
        <v>2622</v>
      </c>
      <c r="L731" s="164"/>
      <c r="M731" s="709" t="s">
        <v>725</v>
      </c>
      <c r="N731" s="710" t="s">
        <v>813</v>
      </c>
      <c r="O731" s="711">
        <v>0.14000000000000001</v>
      </c>
      <c r="P731" s="711">
        <f>O731*H731</f>
        <v>13.144600000000001</v>
      </c>
      <c r="Q731" s="711">
        <v>0.10095</v>
      </c>
      <c r="R731" s="711">
        <f>Q731*H731</f>
        <v>9.4781955</v>
      </c>
      <c r="S731" s="711">
        <v>0</v>
      </c>
      <c r="T731" s="712">
        <f>S731*H731</f>
        <v>0</v>
      </c>
      <c r="AR731" s="668" t="s">
        <v>103</v>
      </c>
      <c r="AT731" s="668" t="s">
        <v>864</v>
      </c>
      <c r="AU731" s="668" t="s">
        <v>101</v>
      </c>
      <c r="AY731" s="157" t="s">
        <v>863</v>
      </c>
      <c r="BE731" s="713">
        <f>IF(N731="základní",J731,0)</f>
        <v>0</v>
      </c>
      <c r="BF731" s="713">
        <f>IF(N731="snížená",J731,0)</f>
        <v>0</v>
      </c>
      <c r="BG731" s="713">
        <f>IF(N731="zákl. přenesená",J731,0)</f>
        <v>0</v>
      </c>
      <c r="BH731" s="713">
        <f>IF(N731="sníž. přenesená",J731,0)</f>
        <v>0</v>
      </c>
      <c r="BI731" s="713">
        <f>IF(N731="nulová",J731,0)</f>
        <v>0</v>
      </c>
      <c r="BJ731" s="157" t="s">
        <v>99</v>
      </c>
      <c r="BK731" s="713">
        <f>ROUND(I731*H731,2)</f>
        <v>0</v>
      </c>
      <c r="BL731" s="157" t="s">
        <v>103</v>
      </c>
      <c r="BM731" s="668" t="s">
        <v>1446</v>
      </c>
    </row>
    <row r="732" spans="2:65" s="715" customFormat="1" ht="11.4" x14ac:dyDescent="0.25">
      <c r="B732" s="714"/>
      <c r="D732" s="716" t="s">
        <v>868</v>
      </c>
      <c r="E732" s="717" t="s">
        <v>725</v>
      </c>
      <c r="F732" s="718" t="s">
        <v>1395</v>
      </c>
      <c r="H732" s="717" t="s">
        <v>725</v>
      </c>
      <c r="K732" s="719"/>
      <c r="L732" s="714"/>
      <c r="M732" s="720"/>
      <c r="T732" s="721"/>
      <c r="AT732" s="717" t="s">
        <v>868</v>
      </c>
      <c r="AU732" s="717" t="s">
        <v>101</v>
      </c>
      <c r="AV732" s="715" t="s">
        <v>99</v>
      </c>
      <c r="AW732" s="715" t="s">
        <v>870</v>
      </c>
      <c r="AX732" s="715" t="s">
        <v>301</v>
      </c>
      <c r="AY732" s="717" t="s">
        <v>863</v>
      </c>
    </row>
    <row r="733" spans="2:65" s="723" customFormat="1" ht="11.4" x14ac:dyDescent="0.25">
      <c r="B733" s="722"/>
      <c r="D733" s="716" t="s">
        <v>868</v>
      </c>
      <c r="E733" s="724" t="s">
        <v>725</v>
      </c>
      <c r="F733" s="725" t="s">
        <v>1447</v>
      </c>
      <c r="H733" s="726">
        <v>93.89</v>
      </c>
      <c r="K733" s="727"/>
      <c r="L733" s="722"/>
      <c r="M733" s="728"/>
      <c r="T733" s="729"/>
      <c r="AT733" s="724" t="s">
        <v>868</v>
      </c>
      <c r="AU733" s="724" t="s">
        <v>101</v>
      </c>
      <c r="AV733" s="723" t="s">
        <v>101</v>
      </c>
      <c r="AW733" s="723" t="s">
        <v>870</v>
      </c>
      <c r="AX733" s="723" t="s">
        <v>301</v>
      </c>
      <c r="AY733" s="724" t="s">
        <v>863</v>
      </c>
    </row>
    <row r="734" spans="2:65" s="731" customFormat="1" ht="11.4" x14ac:dyDescent="0.25">
      <c r="B734" s="730"/>
      <c r="D734" s="716" t="s">
        <v>868</v>
      </c>
      <c r="E734" s="732" t="s">
        <v>725</v>
      </c>
      <c r="F734" s="733" t="s">
        <v>873</v>
      </c>
      <c r="H734" s="734">
        <v>93.89</v>
      </c>
      <c r="K734" s="735"/>
      <c r="L734" s="730"/>
      <c r="M734" s="736"/>
      <c r="T734" s="737"/>
      <c r="AT734" s="732" t="s">
        <v>868</v>
      </c>
      <c r="AU734" s="732" t="s">
        <v>101</v>
      </c>
      <c r="AV734" s="731" t="s">
        <v>103</v>
      </c>
      <c r="AW734" s="731" t="s">
        <v>870</v>
      </c>
      <c r="AX734" s="731" t="s">
        <v>99</v>
      </c>
      <c r="AY734" s="732" t="s">
        <v>863</v>
      </c>
    </row>
    <row r="735" spans="2:65" s="163" customFormat="1" ht="14.4" customHeight="1" x14ac:dyDescent="0.25">
      <c r="B735" s="702"/>
      <c r="C735" s="738" t="s">
        <v>1448</v>
      </c>
      <c r="D735" s="738" t="s">
        <v>298</v>
      </c>
      <c r="E735" s="739" t="s">
        <v>1449</v>
      </c>
      <c r="F735" s="740" t="s">
        <v>1450</v>
      </c>
      <c r="G735" s="741" t="s">
        <v>140</v>
      </c>
      <c r="H735" s="742">
        <v>95.768000000000001</v>
      </c>
      <c r="I735" s="743"/>
      <c r="J735" s="743">
        <f>ROUND(I735*H735,2)</f>
        <v>0</v>
      </c>
      <c r="K735" s="740" t="s">
        <v>2622</v>
      </c>
      <c r="L735" s="744"/>
      <c r="M735" s="745" t="s">
        <v>725</v>
      </c>
      <c r="N735" s="746" t="s">
        <v>813</v>
      </c>
      <c r="O735" s="711">
        <v>0</v>
      </c>
      <c r="P735" s="711">
        <f>O735*H735</f>
        <v>0</v>
      </c>
      <c r="Q735" s="711">
        <v>2.1999999999999999E-2</v>
      </c>
      <c r="R735" s="711">
        <f>Q735*H735</f>
        <v>2.1068959999999999</v>
      </c>
      <c r="S735" s="711">
        <v>0</v>
      </c>
      <c r="T735" s="712">
        <f>S735*H735</f>
        <v>0</v>
      </c>
      <c r="AR735" s="668" t="s">
        <v>111</v>
      </c>
      <c r="AT735" s="668" t="s">
        <v>298</v>
      </c>
      <c r="AU735" s="668" t="s">
        <v>101</v>
      </c>
      <c r="AY735" s="157" t="s">
        <v>863</v>
      </c>
      <c r="BE735" s="713">
        <f>IF(N735="základní",J735,0)</f>
        <v>0</v>
      </c>
      <c r="BF735" s="713">
        <f>IF(N735="snížená",J735,0)</f>
        <v>0</v>
      </c>
      <c r="BG735" s="713">
        <f>IF(N735="zákl. přenesená",J735,0)</f>
        <v>0</v>
      </c>
      <c r="BH735" s="713">
        <f>IF(N735="sníž. přenesená",J735,0)</f>
        <v>0</v>
      </c>
      <c r="BI735" s="713">
        <f>IF(N735="nulová",J735,0)</f>
        <v>0</v>
      </c>
      <c r="BJ735" s="157" t="s">
        <v>99</v>
      </c>
      <c r="BK735" s="713">
        <f>ROUND(I735*H735,2)</f>
        <v>0</v>
      </c>
      <c r="BL735" s="157" t="s">
        <v>103</v>
      </c>
      <c r="BM735" s="668" t="s">
        <v>1451</v>
      </c>
    </row>
    <row r="736" spans="2:65" s="723" customFormat="1" ht="11.4" x14ac:dyDescent="0.25">
      <c r="B736" s="722"/>
      <c r="D736" s="716" t="s">
        <v>868</v>
      </c>
      <c r="F736" s="725" t="s">
        <v>1452</v>
      </c>
      <c r="H736" s="726">
        <v>95.768000000000001</v>
      </c>
      <c r="K736" s="727"/>
      <c r="L736" s="722"/>
      <c r="M736" s="728"/>
      <c r="T736" s="729"/>
      <c r="AT736" s="724" t="s">
        <v>868</v>
      </c>
      <c r="AU736" s="724" t="s">
        <v>101</v>
      </c>
      <c r="AV736" s="723" t="s">
        <v>101</v>
      </c>
      <c r="AW736" s="723" t="s">
        <v>699</v>
      </c>
      <c r="AX736" s="723" t="s">
        <v>99</v>
      </c>
      <c r="AY736" s="724" t="s">
        <v>863</v>
      </c>
    </row>
    <row r="737" spans="2:65" s="163" customFormat="1" ht="27.6" customHeight="1" x14ac:dyDescent="0.25">
      <c r="B737" s="702"/>
      <c r="C737" s="703" t="s">
        <v>1453</v>
      </c>
      <c r="D737" s="703" t="s">
        <v>864</v>
      </c>
      <c r="E737" s="704" t="s">
        <v>1454</v>
      </c>
      <c r="F737" s="705" t="s">
        <v>1455</v>
      </c>
      <c r="G737" s="706" t="s">
        <v>140</v>
      </c>
      <c r="H737" s="707">
        <v>21</v>
      </c>
      <c r="I737" s="708"/>
      <c r="J737" s="708">
        <f>ROUND(I737*H737,2)</f>
        <v>0</v>
      </c>
      <c r="K737" s="705" t="s">
        <v>2622</v>
      </c>
      <c r="L737" s="164"/>
      <c r="M737" s="709" t="s">
        <v>725</v>
      </c>
      <c r="N737" s="710" t="s">
        <v>813</v>
      </c>
      <c r="O737" s="711">
        <v>0.78</v>
      </c>
      <c r="P737" s="711">
        <f>O737*H737</f>
        <v>16.38</v>
      </c>
      <c r="Q737" s="711">
        <v>0.34612999999999999</v>
      </c>
      <c r="R737" s="711">
        <f>Q737*H737</f>
        <v>7.2687299999999997</v>
      </c>
      <c r="S737" s="711">
        <v>0</v>
      </c>
      <c r="T737" s="712">
        <f>S737*H737</f>
        <v>0</v>
      </c>
      <c r="AR737" s="668" t="s">
        <v>103</v>
      </c>
      <c r="AT737" s="668" t="s">
        <v>864</v>
      </c>
      <c r="AU737" s="668" t="s">
        <v>101</v>
      </c>
      <c r="AY737" s="157" t="s">
        <v>863</v>
      </c>
      <c r="BE737" s="713">
        <f>IF(N737="základní",J737,0)</f>
        <v>0</v>
      </c>
      <c r="BF737" s="713">
        <f>IF(N737="snížená",J737,0)</f>
        <v>0</v>
      </c>
      <c r="BG737" s="713">
        <f>IF(N737="zákl. přenesená",J737,0)</f>
        <v>0</v>
      </c>
      <c r="BH737" s="713">
        <f>IF(N737="sníž. přenesená",J737,0)</f>
        <v>0</v>
      </c>
      <c r="BI737" s="713">
        <f>IF(N737="nulová",J737,0)</f>
        <v>0</v>
      </c>
      <c r="BJ737" s="157" t="s">
        <v>99</v>
      </c>
      <c r="BK737" s="713">
        <f>ROUND(I737*H737,2)</f>
        <v>0</v>
      </c>
      <c r="BL737" s="157" t="s">
        <v>103</v>
      </c>
      <c r="BM737" s="668" t="s">
        <v>1456</v>
      </c>
    </row>
    <row r="738" spans="2:65" s="715" customFormat="1" ht="11.4" x14ac:dyDescent="0.25">
      <c r="B738" s="714"/>
      <c r="D738" s="716" t="s">
        <v>868</v>
      </c>
      <c r="E738" s="717" t="s">
        <v>725</v>
      </c>
      <c r="F738" s="718" t="s">
        <v>1241</v>
      </c>
      <c r="H738" s="717" t="s">
        <v>725</v>
      </c>
      <c r="K738" s="719"/>
      <c r="L738" s="714"/>
      <c r="M738" s="720"/>
      <c r="T738" s="721"/>
      <c r="AT738" s="717" t="s">
        <v>868</v>
      </c>
      <c r="AU738" s="717" t="s">
        <v>101</v>
      </c>
      <c r="AV738" s="715" t="s">
        <v>99</v>
      </c>
      <c r="AW738" s="715" t="s">
        <v>870</v>
      </c>
      <c r="AX738" s="715" t="s">
        <v>301</v>
      </c>
      <c r="AY738" s="717" t="s">
        <v>863</v>
      </c>
    </row>
    <row r="739" spans="2:65" s="723" customFormat="1" ht="11.4" x14ac:dyDescent="0.25">
      <c r="B739" s="722"/>
      <c r="D739" s="716" t="s">
        <v>868</v>
      </c>
      <c r="E739" s="724" t="s">
        <v>725</v>
      </c>
      <c r="F739" s="725" t="s">
        <v>1457</v>
      </c>
      <c r="H739" s="726">
        <v>21</v>
      </c>
      <c r="K739" s="727"/>
      <c r="L739" s="722"/>
      <c r="M739" s="728"/>
      <c r="T739" s="729"/>
      <c r="AT739" s="724" t="s">
        <v>868</v>
      </c>
      <c r="AU739" s="724" t="s">
        <v>101</v>
      </c>
      <c r="AV739" s="723" t="s">
        <v>101</v>
      </c>
      <c r="AW739" s="723" t="s">
        <v>870</v>
      </c>
      <c r="AX739" s="723" t="s">
        <v>301</v>
      </c>
      <c r="AY739" s="724" t="s">
        <v>863</v>
      </c>
    </row>
    <row r="740" spans="2:65" s="731" customFormat="1" ht="11.4" x14ac:dyDescent="0.25">
      <c r="B740" s="730"/>
      <c r="D740" s="716" t="s">
        <v>868</v>
      </c>
      <c r="E740" s="732" t="s">
        <v>725</v>
      </c>
      <c r="F740" s="733" t="s">
        <v>873</v>
      </c>
      <c r="H740" s="734">
        <v>21</v>
      </c>
      <c r="K740" s="735"/>
      <c r="L740" s="730"/>
      <c r="M740" s="736"/>
      <c r="T740" s="737"/>
      <c r="AT740" s="732" t="s">
        <v>868</v>
      </c>
      <c r="AU740" s="732" t="s">
        <v>101</v>
      </c>
      <c r="AV740" s="731" t="s">
        <v>103</v>
      </c>
      <c r="AW740" s="731" t="s">
        <v>870</v>
      </c>
      <c r="AX740" s="731" t="s">
        <v>99</v>
      </c>
      <c r="AY740" s="732" t="s">
        <v>863</v>
      </c>
    </row>
    <row r="741" spans="2:65" s="163" customFormat="1" ht="14.4" customHeight="1" x14ac:dyDescent="0.25">
      <c r="B741" s="702"/>
      <c r="C741" s="738" t="s">
        <v>1458</v>
      </c>
      <c r="D741" s="738" t="s">
        <v>298</v>
      </c>
      <c r="E741" s="739" t="s">
        <v>1459</v>
      </c>
      <c r="F741" s="740" t="s">
        <v>1460</v>
      </c>
      <c r="G741" s="741" t="s">
        <v>140</v>
      </c>
      <c r="H741" s="742">
        <v>21.42</v>
      </c>
      <c r="I741" s="743"/>
      <c r="J741" s="743">
        <f>ROUND(I741*H741,2)</f>
        <v>0</v>
      </c>
      <c r="K741" s="740" t="s">
        <v>2622</v>
      </c>
      <c r="L741" s="744"/>
      <c r="M741" s="745" t="s">
        <v>725</v>
      </c>
      <c r="N741" s="746" t="s">
        <v>813</v>
      </c>
      <c r="O741" s="711">
        <v>0</v>
      </c>
      <c r="P741" s="711">
        <f>O741*H741</f>
        <v>0</v>
      </c>
      <c r="Q741" s="711">
        <v>4.8000000000000001E-2</v>
      </c>
      <c r="R741" s="711">
        <f>Q741*H741</f>
        <v>1.0281600000000002</v>
      </c>
      <c r="S741" s="711">
        <v>0</v>
      </c>
      <c r="T741" s="712">
        <f>S741*H741</f>
        <v>0</v>
      </c>
      <c r="AR741" s="668" t="s">
        <v>111</v>
      </c>
      <c r="AT741" s="668" t="s">
        <v>298</v>
      </c>
      <c r="AU741" s="668" t="s">
        <v>101</v>
      </c>
      <c r="AY741" s="157" t="s">
        <v>863</v>
      </c>
      <c r="BE741" s="713">
        <f>IF(N741="základní",J741,0)</f>
        <v>0</v>
      </c>
      <c r="BF741" s="713">
        <f>IF(N741="snížená",J741,0)</f>
        <v>0</v>
      </c>
      <c r="BG741" s="713">
        <f>IF(N741="zákl. přenesená",J741,0)</f>
        <v>0</v>
      </c>
      <c r="BH741" s="713">
        <f>IF(N741="sníž. přenesená",J741,0)</f>
        <v>0</v>
      </c>
      <c r="BI741" s="713">
        <f>IF(N741="nulová",J741,0)</f>
        <v>0</v>
      </c>
      <c r="BJ741" s="157" t="s">
        <v>99</v>
      </c>
      <c r="BK741" s="713">
        <f>ROUND(I741*H741,2)</f>
        <v>0</v>
      </c>
      <c r="BL741" s="157" t="s">
        <v>103</v>
      </c>
      <c r="BM741" s="668" t="s">
        <v>1461</v>
      </c>
    </row>
    <row r="742" spans="2:65" s="723" customFormat="1" ht="11.4" x14ac:dyDescent="0.25">
      <c r="B742" s="722"/>
      <c r="D742" s="716" t="s">
        <v>868</v>
      </c>
      <c r="F742" s="725" t="s">
        <v>1462</v>
      </c>
      <c r="H742" s="726">
        <v>21.42</v>
      </c>
      <c r="K742" s="727"/>
      <c r="L742" s="722"/>
      <c r="M742" s="728"/>
      <c r="T742" s="729"/>
      <c r="AT742" s="724" t="s">
        <v>868</v>
      </c>
      <c r="AU742" s="724" t="s">
        <v>101</v>
      </c>
      <c r="AV742" s="723" t="s">
        <v>101</v>
      </c>
      <c r="AW742" s="723" t="s">
        <v>699</v>
      </c>
      <c r="AX742" s="723" t="s">
        <v>99</v>
      </c>
      <c r="AY742" s="724" t="s">
        <v>863</v>
      </c>
    </row>
    <row r="743" spans="2:65" s="163" customFormat="1" ht="30" customHeight="1" x14ac:dyDescent="0.25">
      <c r="B743" s="702"/>
      <c r="C743" s="703" t="s">
        <v>1463</v>
      </c>
      <c r="D743" s="703" t="s">
        <v>864</v>
      </c>
      <c r="E743" s="704" t="s">
        <v>1464</v>
      </c>
      <c r="F743" s="705" t="s">
        <v>1465</v>
      </c>
      <c r="G743" s="706" t="s">
        <v>140</v>
      </c>
      <c r="H743" s="707">
        <v>79.784999999999997</v>
      </c>
      <c r="I743" s="708"/>
      <c r="J743" s="708">
        <f>ROUND(I743*H743,2)</f>
        <v>0</v>
      </c>
      <c r="K743" s="705" t="s">
        <v>2622</v>
      </c>
      <c r="L743" s="164"/>
      <c r="M743" s="709" t="s">
        <v>725</v>
      </c>
      <c r="N743" s="710" t="s">
        <v>813</v>
      </c>
      <c r="O743" s="711">
        <v>9.7000000000000003E-2</v>
      </c>
      <c r="P743" s="711">
        <f>O743*H743</f>
        <v>7.7391449999999997</v>
      </c>
      <c r="Q743" s="711">
        <v>0</v>
      </c>
      <c r="R743" s="711">
        <f>Q743*H743</f>
        <v>0</v>
      </c>
      <c r="S743" s="711">
        <v>0</v>
      </c>
      <c r="T743" s="712">
        <f>S743*H743</f>
        <v>0</v>
      </c>
      <c r="AR743" s="668" t="s">
        <v>103</v>
      </c>
      <c r="AT743" s="668" t="s">
        <v>864</v>
      </c>
      <c r="AU743" s="668" t="s">
        <v>101</v>
      </c>
      <c r="AY743" s="157" t="s">
        <v>863</v>
      </c>
      <c r="BE743" s="713">
        <f>IF(N743="základní",J743,0)</f>
        <v>0</v>
      </c>
      <c r="BF743" s="713">
        <f>IF(N743="snížená",J743,0)</f>
        <v>0</v>
      </c>
      <c r="BG743" s="713">
        <f>IF(N743="zákl. přenesená",J743,0)</f>
        <v>0</v>
      </c>
      <c r="BH743" s="713">
        <f>IF(N743="sníž. přenesená",J743,0)</f>
        <v>0</v>
      </c>
      <c r="BI743" s="713">
        <f>IF(N743="nulová",J743,0)</f>
        <v>0</v>
      </c>
      <c r="BJ743" s="157" t="s">
        <v>99</v>
      </c>
      <c r="BK743" s="713">
        <f>ROUND(I743*H743,2)</f>
        <v>0</v>
      </c>
      <c r="BL743" s="157" t="s">
        <v>103</v>
      </c>
      <c r="BM743" s="668" t="s">
        <v>1466</v>
      </c>
    </row>
    <row r="744" spans="2:65" s="715" customFormat="1" ht="11.4" x14ac:dyDescent="0.25">
      <c r="B744" s="714"/>
      <c r="D744" s="716" t="s">
        <v>868</v>
      </c>
      <c r="E744" s="717" t="s">
        <v>725</v>
      </c>
      <c r="F744" s="718" t="s">
        <v>881</v>
      </c>
      <c r="H744" s="717" t="s">
        <v>725</v>
      </c>
      <c r="K744" s="719"/>
      <c r="L744" s="714"/>
      <c r="M744" s="720"/>
      <c r="T744" s="721"/>
      <c r="AT744" s="717" t="s">
        <v>868</v>
      </c>
      <c r="AU744" s="717" t="s">
        <v>101</v>
      </c>
      <c r="AV744" s="715" t="s">
        <v>99</v>
      </c>
      <c r="AW744" s="715" t="s">
        <v>870</v>
      </c>
      <c r="AX744" s="715" t="s">
        <v>301</v>
      </c>
      <c r="AY744" s="717" t="s">
        <v>863</v>
      </c>
    </row>
    <row r="745" spans="2:65" s="715" customFormat="1" ht="11.4" x14ac:dyDescent="0.25">
      <c r="B745" s="714"/>
      <c r="D745" s="716" t="s">
        <v>868</v>
      </c>
      <c r="E745" s="717" t="s">
        <v>725</v>
      </c>
      <c r="F745" s="718" t="s">
        <v>869</v>
      </c>
      <c r="H745" s="717" t="s">
        <v>725</v>
      </c>
      <c r="K745" s="719"/>
      <c r="L745" s="714"/>
      <c r="M745" s="720"/>
      <c r="T745" s="721"/>
      <c r="AT745" s="717" t="s">
        <v>868</v>
      </c>
      <c r="AU745" s="717" t="s">
        <v>101</v>
      </c>
      <c r="AV745" s="715" t="s">
        <v>99</v>
      </c>
      <c r="AW745" s="715" t="s">
        <v>870</v>
      </c>
      <c r="AX745" s="715" t="s">
        <v>301</v>
      </c>
      <c r="AY745" s="717" t="s">
        <v>863</v>
      </c>
    </row>
    <row r="746" spans="2:65" s="715" customFormat="1" ht="11.4" x14ac:dyDescent="0.25">
      <c r="B746" s="714"/>
      <c r="D746" s="716" t="s">
        <v>868</v>
      </c>
      <c r="E746" s="717" t="s">
        <v>725</v>
      </c>
      <c r="F746" s="718" t="s">
        <v>1467</v>
      </c>
      <c r="H746" s="717" t="s">
        <v>725</v>
      </c>
      <c r="K746" s="719"/>
      <c r="L746" s="714"/>
      <c r="M746" s="720"/>
      <c r="T746" s="721"/>
      <c r="AT746" s="717" t="s">
        <v>868</v>
      </c>
      <c r="AU746" s="717" t="s">
        <v>101</v>
      </c>
      <c r="AV746" s="715" t="s">
        <v>99</v>
      </c>
      <c r="AW746" s="715" t="s">
        <v>870</v>
      </c>
      <c r="AX746" s="715" t="s">
        <v>301</v>
      </c>
      <c r="AY746" s="717" t="s">
        <v>863</v>
      </c>
    </row>
    <row r="747" spans="2:65" s="723" customFormat="1" ht="11.4" x14ac:dyDescent="0.25">
      <c r="B747" s="722"/>
      <c r="D747" s="716" t="s">
        <v>868</v>
      </c>
      <c r="E747" s="724" t="s">
        <v>725</v>
      </c>
      <c r="F747" s="725" t="s">
        <v>1468</v>
      </c>
      <c r="H747" s="726">
        <v>22.844999999999999</v>
      </c>
      <c r="K747" s="727"/>
      <c r="L747" s="722"/>
      <c r="M747" s="728"/>
      <c r="T747" s="729"/>
      <c r="AT747" s="724" t="s">
        <v>868</v>
      </c>
      <c r="AU747" s="724" t="s">
        <v>101</v>
      </c>
      <c r="AV747" s="723" t="s">
        <v>101</v>
      </c>
      <c r="AW747" s="723" t="s">
        <v>870</v>
      </c>
      <c r="AX747" s="723" t="s">
        <v>301</v>
      </c>
      <c r="AY747" s="724" t="s">
        <v>863</v>
      </c>
    </row>
    <row r="748" spans="2:65" s="723" customFormat="1" ht="11.4" x14ac:dyDescent="0.25">
      <c r="B748" s="722"/>
      <c r="D748" s="716" t="s">
        <v>868</v>
      </c>
      <c r="E748" s="724" t="s">
        <v>725</v>
      </c>
      <c r="F748" s="725" t="s">
        <v>1469</v>
      </c>
      <c r="H748" s="726">
        <v>56.94</v>
      </c>
      <c r="K748" s="727"/>
      <c r="L748" s="722"/>
      <c r="M748" s="728"/>
      <c r="T748" s="729"/>
      <c r="AT748" s="724" t="s">
        <v>868</v>
      </c>
      <c r="AU748" s="724" t="s">
        <v>101</v>
      </c>
      <c r="AV748" s="723" t="s">
        <v>101</v>
      </c>
      <c r="AW748" s="723" t="s">
        <v>870</v>
      </c>
      <c r="AX748" s="723" t="s">
        <v>301</v>
      </c>
      <c r="AY748" s="724" t="s">
        <v>863</v>
      </c>
    </row>
    <row r="749" spans="2:65" s="731" customFormat="1" ht="11.4" x14ac:dyDescent="0.25">
      <c r="B749" s="730"/>
      <c r="D749" s="716" t="s">
        <v>868</v>
      </c>
      <c r="E749" s="732" t="s">
        <v>725</v>
      </c>
      <c r="F749" s="733" t="s">
        <v>873</v>
      </c>
      <c r="H749" s="734">
        <v>79.784999999999997</v>
      </c>
      <c r="K749" s="735"/>
      <c r="L749" s="730"/>
      <c r="M749" s="736"/>
      <c r="T749" s="737"/>
      <c r="AT749" s="732" t="s">
        <v>868</v>
      </c>
      <c r="AU749" s="732" t="s">
        <v>101</v>
      </c>
      <c r="AV749" s="731" t="s">
        <v>103</v>
      </c>
      <c r="AW749" s="731" t="s">
        <v>870</v>
      </c>
      <c r="AX749" s="731" t="s">
        <v>99</v>
      </c>
      <c r="AY749" s="732" t="s">
        <v>863</v>
      </c>
    </row>
    <row r="750" spans="2:65" s="163" customFormat="1" ht="38.4" customHeight="1" x14ac:dyDescent="0.25">
      <c r="B750" s="702"/>
      <c r="C750" s="703" t="s">
        <v>1470</v>
      </c>
      <c r="D750" s="703" t="s">
        <v>864</v>
      </c>
      <c r="E750" s="704" t="s">
        <v>1471</v>
      </c>
      <c r="F750" s="705" t="s">
        <v>1472</v>
      </c>
      <c r="G750" s="706" t="s">
        <v>140</v>
      </c>
      <c r="H750" s="707">
        <v>79.784999999999997</v>
      </c>
      <c r="I750" s="708"/>
      <c r="J750" s="708">
        <f>ROUND(I750*H750,2)</f>
        <v>0</v>
      </c>
      <c r="K750" s="705" t="s">
        <v>2622</v>
      </c>
      <c r="L750" s="164"/>
      <c r="M750" s="709" t="s">
        <v>725</v>
      </c>
      <c r="N750" s="710" t="s">
        <v>813</v>
      </c>
      <c r="O750" s="711">
        <v>6.8000000000000005E-2</v>
      </c>
      <c r="P750" s="711">
        <f>O750*H750</f>
        <v>5.4253800000000005</v>
      </c>
      <c r="Q750" s="711">
        <v>5.0000000000000002E-5</v>
      </c>
      <c r="R750" s="711">
        <f>Q750*H750</f>
        <v>3.9892499999999997E-3</v>
      </c>
      <c r="S750" s="711">
        <v>0</v>
      </c>
      <c r="T750" s="712">
        <f>S750*H750</f>
        <v>0</v>
      </c>
      <c r="AR750" s="668" t="s">
        <v>103</v>
      </c>
      <c r="AT750" s="668" t="s">
        <v>864</v>
      </c>
      <c r="AU750" s="668" t="s">
        <v>101</v>
      </c>
      <c r="AY750" s="157" t="s">
        <v>863</v>
      </c>
      <c r="BE750" s="713">
        <f>IF(N750="základní",J750,0)</f>
        <v>0</v>
      </c>
      <c r="BF750" s="713">
        <f>IF(N750="snížená",J750,0)</f>
        <v>0</v>
      </c>
      <c r="BG750" s="713">
        <f>IF(N750="zákl. přenesená",J750,0)</f>
        <v>0</v>
      </c>
      <c r="BH750" s="713">
        <f>IF(N750="sníž. přenesená",J750,0)</f>
        <v>0</v>
      </c>
      <c r="BI750" s="713">
        <f>IF(N750="nulová",J750,0)</f>
        <v>0</v>
      </c>
      <c r="BJ750" s="157" t="s">
        <v>99</v>
      </c>
      <c r="BK750" s="713">
        <f>ROUND(I750*H750,2)</f>
        <v>0</v>
      </c>
      <c r="BL750" s="157" t="s">
        <v>103</v>
      </c>
      <c r="BM750" s="668" t="s">
        <v>1473</v>
      </c>
    </row>
    <row r="751" spans="2:65" s="715" customFormat="1" ht="11.4" x14ac:dyDescent="0.25">
      <c r="B751" s="714"/>
      <c r="D751" s="716" t="s">
        <v>868</v>
      </c>
      <c r="E751" s="717" t="s">
        <v>725</v>
      </c>
      <c r="F751" s="718" t="s">
        <v>1474</v>
      </c>
      <c r="H751" s="717" t="s">
        <v>725</v>
      </c>
      <c r="K751" s="719"/>
      <c r="L751" s="714"/>
      <c r="M751" s="720"/>
      <c r="T751" s="721"/>
      <c r="AT751" s="717" t="s">
        <v>868</v>
      </c>
      <c r="AU751" s="717" t="s">
        <v>101</v>
      </c>
      <c r="AV751" s="715" t="s">
        <v>99</v>
      </c>
      <c r="AW751" s="715" t="s">
        <v>870</v>
      </c>
      <c r="AX751" s="715" t="s">
        <v>301</v>
      </c>
      <c r="AY751" s="717" t="s">
        <v>863</v>
      </c>
    </row>
    <row r="752" spans="2:65" s="723" customFormat="1" ht="11.4" x14ac:dyDescent="0.25">
      <c r="B752" s="722"/>
      <c r="D752" s="716" t="s">
        <v>868</v>
      </c>
      <c r="E752" s="724" t="s">
        <v>725</v>
      </c>
      <c r="F752" s="725" t="s">
        <v>1475</v>
      </c>
      <c r="H752" s="726">
        <v>79.784999999999997</v>
      </c>
      <c r="K752" s="727"/>
      <c r="L752" s="722"/>
      <c r="M752" s="728"/>
      <c r="T752" s="729"/>
      <c r="AT752" s="724" t="s">
        <v>868</v>
      </c>
      <c r="AU752" s="724" t="s">
        <v>101</v>
      </c>
      <c r="AV752" s="723" t="s">
        <v>101</v>
      </c>
      <c r="AW752" s="723" t="s">
        <v>870</v>
      </c>
      <c r="AX752" s="723" t="s">
        <v>99</v>
      </c>
      <c r="AY752" s="724" t="s">
        <v>863</v>
      </c>
    </row>
    <row r="753" spans="2:65" s="163" customFormat="1" ht="28.95" customHeight="1" x14ac:dyDescent="0.25">
      <c r="B753" s="702"/>
      <c r="C753" s="703" t="s">
        <v>1476</v>
      </c>
      <c r="D753" s="703" t="s">
        <v>864</v>
      </c>
      <c r="E753" s="704" t="s">
        <v>1477</v>
      </c>
      <c r="F753" s="705" t="s">
        <v>1478</v>
      </c>
      <c r="G753" s="706" t="s">
        <v>140</v>
      </c>
      <c r="H753" s="707">
        <v>79.784999999999997</v>
      </c>
      <c r="I753" s="708"/>
      <c r="J753" s="708">
        <f>ROUND(I753*H753,2)</f>
        <v>0</v>
      </c>
      <c r="K753" s="705" t="s">
        <v>2622</v>
      </c>
      <c r="L753" s="164"/>
      <c r="M753" s="709" t="s">
        <v>725</v>
      </c>
      <c r="N753" s="710" t="s">
        <v>813</v>
      </c>
      <c r="O753" s="711">
        <v>0.05</v>
      </c>
      <c r="P753" s="711">
        <f>O753*H753</f>
        <v>3.9892500000000002</v>
      </c>
      <c r="Q753" s="711">
        <v>4.4999999999999999E-4</v>
      </c>
      <c r="R753" s="711">
        <f>Q753*H753</f>
        <v>3.5903249999999998E-2</v>
      </c>
      <c r="S753" s="711">
        <v>0</v>
      </c>
      <c r="T753" s="712">
        <f>S753*H753</f>
        <v>0</v>
      </c>
      <c r="AR753" s="668" t="s">
        <v>103</v>
      </c>
      <c r="AT753" s="668" t="s">
        <v>864</v>
      </c>
      <c r="AU753" s="668" t="s">
        <v>101</v>
      </c>
      <c r="AY753" s="157" t="s">
        <v>863</v>
      </c>
      <c r="BE753" s="713">
        <f>IF(N753="základní",J753,0)</f>
        <v>0</v>
      </c>
      <c r="BF753" s="713">
        <f>IF(N753="snížená",J753,0)</f>
        <v>0</v>
      </c>
      <c r="BG753" s="713">
        <f>IF(N753="zákl. přenesená",J753,0)</f>
        <v>0</v>
      </c>
      <c r="BH753" s="713">
        <f>IF(N753="sníž. přenesená",J753,0)</f>
        <v>0</v>
      </c>
      <c r="BI753" s="713">
        <f>IF(N753="nulová",J753,0)</f>
        <v>0</v>
      </c>
      <c r="BJ753" s="157" t="s">
        <v>99</v>
      </c>
      <c r="BK753" s="713">
        <f>ROUND(I753*H753,2)</f>
        <v>0</v>
      </c>
      <c r="BL753" s="157" t="s">
        <v>103</v>
      </c>
      <c r="BM753" s="668" t="s">
        <v>1479</v>
      </c>
    </row>
    <row r="754" spans="2:65" s="715" customFormat="1" ht="11.4" x14ac:dyDescent="0.25">
      <c r="B754" s="714"/>
      <c r="D754" s="716" t="s">
        <v>868</v>
      </c>
      <c r="E754" s="717" t="s">
        <v>725</v>
      </c>
      <c r="F754" s="718" t="s">
        <v>1474</v>
      </c>
      <c r="H754" s="717" t="s">
        <v>725</v>
      </c>
      <c r="K754" s="719"/>
      <c r="L754" s="714"/>
      <c r="M754" s="720"/>
      <c r="T754" s="721"/>
      <c r="AT754" s="717" t="s">
        <v>868</v>
      </c>
      <c r="AU754" s="717" t="s">
        <v>101</v>
      </c>
      <c r="AV754" s="715" t="s">
        <v>99</v>
      </c>
      <c r="AW754" s="715" t="s">
        <v>870</v>
      </c>
      <c r="AX754" s="715" t="s">
        <v>301</v>
      </c>
      <c r="AY754" s="717" t="s">
        <v>863</v>
      </c>
    </row>
    <row r="755" spans="2:65" s="723" customFormat="1" ht="11.4" x14ac:dyDescent="0.25">
      <c r="B755" s="722"/>
      <c r="D755" s="716" t="s">
        <v>868</v>
      </c>
      <c r="E755" s="724" t="s">
        <v>725</v>
      </c>
      <c r="F755" s="725" t="s">
        <v>1475</v>
      </c>
      <c r="H755" s="726">
        <v>79.784999999999997</v>
      </c>
      <c r="K755" s="727"/>
      <c r="L755" s="722"/>
      <c r="M755" s="728"/>
      <c r="T755" s="729"/>
      <c r="AT755" s="724" t="s">
        <v>868</v>
      </c>
      <c r="AU755" s="724" t="s">
        <v>101</v>
      </c>
      <c r="AV755" s="723" t="s">
        <v>101</v>
      </c>
      <c r="AW755" s="723" t="s">
        <v>870</v>
      </c>
      <c r="AX755" s="723" t="s">
        <v>99</v>
      </c>
      <c r="AY755" s="724" t="s">
        <v>863</v>
      </c>
    </row>
    <row r="756" spans="2:65" s="163" customFormat="1" ht="19.2" customHeight="1" x14ac:dyDescent="0.25">
      <c r="B756" s="702"/>
      <c r="C756" s="703" t="s">
        <v>1480</v>
      </c>
      <c r="D756" s="703" t="s">
        <v>864</v>
      </c>
      <c r="E756" s="704" t="s">
        <v>1481</v>
      </c>
      <c r="F756" s="705" t="s">
        <v>1482</v>
      </c>
      <c r="G756" s="706" t="s">
        <v>15</v>
      </c>
      <c r="H756" s="707">
        <v>85.13</v>
      </c>
      <c r="I756" s="708"/>
      <c r="J756" s="708">
        <f>ROUND(I756*H756,2)</f>
        <v>0</v>
      </c>
      <c r="K756" s="705" t="s">
        <v>2622</v>
      </c>
      <c r="L756" s="164"/>
      <c r="M756" s="709" t="s">
        <v>725</v>
      </c>
      <c r="N756" s="710" t="s">
        <v>813</v>
      </c>
      <c r="O756" s="711">
        <v>0.92800000000000005</v>
      </c>
      <c r="P756" s="711">
        <f>O756*H756</f>
        <v>79.000640000000004</v>
      </c>
      <c r="Q756" s="711">
        <v>1.3860000000000001E-2</v>
      </c>
      <c r="R756" s="711">
        <f>Q756*H756</f>
        <v>1.1799018000000001</v>
      </c>
      <c r="S756" s="711">
        <v>0</v>
      </c>
      <c r="T756" s="712">
        <f>S756*H756</f>
        <v>0</v>
      </c>
      <c r="AR756" s="668" t="s">
        <v>103</v>
      </c>
      <c r="AT756" s="668" t="s">
        <v>864</v>
      </c>
      <c r="AU756" s="668" t="s">
        <v>101</v>
      </c>
      <c r="AY756" s="157" t="s">
        <v>863</v>
      </c>
      <c r="BE756" s="713">
        <f>IF(N756="základní",J756,0)</f>
        <v>0</v>
      </c>
      <c r="BF756" s="713">
        <f>IF(N756="snížená",J756,0)</f>
        <v>0</v>
      </c>
      <c r="BG756" s="713">
        <f>IF(N756="zákl. přenesená",J756,0)</f>
        <v>0</v>
      </c>
      <c r="BH756" s="713">
        <f>IF(N756="sníž. přenesená",J756,0)</f>
        <v>0</v>
      </c>
      <c r="BI756" s="713">
        <f>IF(N756="nulová",J756,0)</f>
        <v>0</v>
      </c>
      <c r="BJ756" s="157" t="s">
        <v>99</v>
      </c>
      <c r="BK756" s="713">
        <f>ROUND(I756*H756,2)</f>
        <v>0</v>
      </c>
      <c r="BL756" s="157" t="s">
        <v>103</v>
      </c>
      <c r="BM756" s="668" t="s">
        <v>1483</v>
      </c>
    </row>
    <row r="757" spans="2:65" s="715" customFormat="1" ht="11.4" x14ac:dyDescent="0.25">
      <c r="B757" s="714"/>
      <c r="D757" s="716" t="s">
        <v>868</v>
      </c>
      <c r="E757" s="717" t="s">
        <v>725</v>
      </c>
      <c r="F757" s="718" t="s">
        <v>881</v>
      </c>
      <c r="H757" s="717" t="s">
        <v>725</v>
      </c>
      <c r="K757" s="719"/>
      <c r="L757" s="714"/>
      <c r="M757" s="720"/>
      <c r="T757" s="721"/>
      <c r="AT757" s="717" t="s">
        <v>868</v>
      </c>
      <c r="AU757" s="717" t="s">
        <v>101</v>
      </c>
      <c r="AV757" s="715" t="s">
        <v>99</v>
      </c>
      <c r="AW757" s="715" t="s">
        <v>870</v>
      </c>
      <c r="AX757" s="715" t="s">
        <v>301</v>
      </c>
      <c r="AY757" s="717" t="s">
        <v>863</v>
      </c>
    </row>
    <row r="758" spans="2:65" s="715" customFormat="1" ht="11.4" x14ac:dyDescent="0.25">
      <c r="B758" s="714"/>
      <c r="D758" s="716" t="s">
        <v>868</v>
      </c>
      <c r="E758" s="717" t="s">
        <v>725</v>
      </c>
      <c r="F758" s="718" t="s">
        <v>869</v>
      </c>
      <c r="H758" s="717" t="s">
        <v>725</v>
      </c>
      <c r="K758" s="719"/>
      <c r="L758" s="714"/>
      <c r="M758" s="720"/>
      <c r="T758" s="721"/>
      <c r="AT758" s="717" t="s">
        <v>868</v>
      </c>
      <c r="AU758" s="717" t="s">
        <v>101</v>
      </c>
      <c r="AV758" s="715" t="s">
        <v>99</v>
      </c>
      <c r="AW758" s="715" t="s">
        <v>870</v>
      </c>
      <c r="AX758" s="715" t="s">
        <v>301</v>
      </c>
      <c r="AY758" s="717" t="s">
        <v>863</v>
      </c>
    </row>
    <row r="759" spans="2:65" s="715" customFormat="1" ht="11.4" x14ac:dyDescent="0.25">
      <c r="B759" s="714"/>
      <c r="D759" s="716" t="s">
        <v>868</v>
      </c>
      <c r="E759" s="717" t="s">
        <v>725</v>
      </c>
      <c r="F759" s="718" t="s">
        <v>887</v>
      </c>
      <c r="H759" s="717" t="s">
        <v>725</v>
      </c>
      <c r="K759" s="719"/>
      <c r="L759" s="714"/>
      <c r="M759" s="720"/>
      <c r="T759" s="721"/>
      <c r="AT759" s="717" t="s">
        <v>868</v>
      </c>
      <c r="AU759" s="717" t="s">
        <v>101</v>
      </c>
      <c r="AV759" s="715" t="s">
        <v>99</v>
      </c>
      <c r="AW759" s="715" t="s">
        <v>870</v>
      </c>
      <c r="AX759" s="715" t="s">
        <v>301</v>
      </c>
      <c r="AY759" s="717" t="s">
        <v>863</v>
      </c>
    </row>
    <row r="760" spans="2:65" s="715" customFormat="1" ht="11.4" x14ac:dyDescent="0.25">
      <c r="B760" s="714"/>
      <c r="D760" s="716" t="s">
        <v>868</v>
      </c>
      <c r="E760" s="717" t="s">
        <v>725</v>
      </c>
      <c r="F760" s="718" t="s">
        <v>888</v>
      </c>
      <c r="H760" s="717" t="s">
        <v>725</v>
      </c>
      <c r="K760" s="719"/>
      <c r="L760" s="714"/>
      <c r="M760" s="720"/>
      <c r="T760" s="721"/>
      <c r="AT760" s="717" t="s">
        <v>868</v>
      </c>
      <c r="AU760" s="717" t="s">
        <v>101</v>
      </c>
      <c r="AV760" s="715" t="s">
        <v>99</v>
      </c>
      <c r="AW760" s="715" t="s">
        <v>870</v>
      </c>
      <c r="AX760" s="715" t="s">
        <v>301</v>
      </c>
      <c r="AY760" s="717" t="s">
        <v>863</v>
      </c>
    </row>
    <row r="761" spans="2:65" s="723" customFormat="1" ht="11.4" x14ac:dyDescent="0.25">
      <c r="B761" s="722"/>
      <c r="D761" s="716" t="s">
        <v>868</v>
      </c>
      <c r="E761" s="724" t="s">
        <v>725</v>
      </c>
      <c r="F761" s="725" t="s">
        <v>1484</v>
      </c>
      <c r="H761" s="726">
        <v>85.13</v>
      </c>
      <c r="K761" s="727"/>
      <c r="L761" s="722"/>
      <c r="M761" s="728"/>
      <c r="T761" s="729"/>
      <c r="AT761" s="724" t="s">
        <v>868</v>
      </c>
      <c r="AU761" s="724" t="s">
        <v>101</v>
      </c>
      <c r="AV761" s="723" t="s">
        <v>101</v>
      </c>
      <c r="AW761" s="723" t="s">
        <v>870</v>
      </c>
      <c r="AX761" s="723" t="s">
        <v>301</v>
      </c>
      <c r="AY761" s="724" t="s">
        <v>863</v>
      </c>
    </row>
    <row r="762" spans="2:65" s="731" customFormat="1" ht="11.4" x14ac:dyDescent="0.25">
      <c r="B762" s="730"/>
      <c r="D762" s="716" t="s">
        <v>868</v>
      </c>
      <c r="E762" s="732" t="s">
        <v>725</v>
      </c>
      <c r="F762" s="733" t="s">
        <v>873</v>
      </c>
      <c r="H762" s="734">
        <v>85.13</v>
      </c>
      <c r="K762" s="735"/>
      <c r="L762" s="730"/>
      <c r="M762" s="736"/>
      <c r="T762" s="737"/>
      <c r="AT762" s="732" t="s">
        <v>868</v>
      </c>
      <c r="AU762" s="732" t="s">
        <v>101</v>
      </c>
      <c r="AV762" s="731" t="s">
        <v>103</v>
      </c>
      <c r="AW762" s="731" t="s">
        <v>870</v>
      </c>
      <c r="AX762" s="731" t="s">
        <v>99</v>
      </c>
      <c r="AY762" s="732" t="s">
        <v>863</v>
      </c>
    </row>
    <row r="763" spans="2:65" s="163" customFormat="1" ht="30" customHeight="1" x14ac:dyDescent="0.25">
      <c r="B763" s="702"/>
      <c r="C763" s="703" t="s">
        <v>1485</v>
      </c>
      <c r="D763" s="703" t="s">
        <v>864</v>
      </c>
      <c r="E763" s="704" t="s">
        <v>1486</v>
      </c>
      <c r="F763" s="705" t="s">
        <v>1487</v>
      </c>
      <c r="G763" s="706" t="s">
        <v>15</v>
      </c>
      <c r="H763" s="707">
        <v>2937.0749999999998</v>
      </c>
      <c r="I763" s="708"/>
      <c r="J763" s="708">
        <f>ROUND(I763*H763,2)</f>
        <v>0</v>
      </c>
      <c r="K763" s="705" t="s">
        <v>2622</v>
      </c>
      <c r="L763" s="164"/>
      <c r="M763" s="709" t="s">
        <v>725</v>
      </c>
      <c r="N763" s="710" t="s">
        <v>813</v>
      </c>
      <c r="O763" s="711">
        <v>0.08</v>
      </c>
      <c r="P763" s="711">
        <f>O763*H763</f>
        <v>234.96599999999998</v>
      </c>
      <c r="Q763" s="711">
        <v>6.8999999999999997E-4</v>
      </c>
      <c r="R763" s="711">
        <f>Q763*H763</f>
        <v>2.0265817499999996</v>
      </c>
      <c r="S763" s="711">
        <v>0</v>
      </c>
      <c r="T763" s="712">
        <f>S763*H763</f>
        <v>0</v>
      </c>
      <c r="AR763" s="668" t="s">
        <v>103</v>
      </c>
      <c r="AT763" s="668" t="s">
        <v>864</v>
      </c>
      <c r="AU763" s="668" t="s">
        <v>101</v>
      </c>
      <c r="AY763" s="157" t="s">
        <v>863</v>
      </c>
      <c r="BE763" s="713">
        <f>IF(N763="základní",J763,0)</f>
        <v>0</v>
      </c>
      <c r="BF763" s="713">
        <f>IF(N763="snížená",J763,0)</f>
        <v>0</v>
      </c>
      <c r="BG763" s="713">
        <f>IF(N763="zákl. přenesená",J763,0)</f>
        <v>0</v>
      </c>
      <c r="BH763" s="713">
        <f>IF(N763="sníž. přenesená",J763,0)</f>
        <v>0</v>
      </c>
      <c r="BI763" s="713">
        <f>IF(N763="nulová",J763,0)</f>
        <v>0</v>
      </c>
      <c r="BJ763" s="157" t="s">
        <v>99</v>
      </c>
      <c r="BK763" s="713">
        <f>ROUND(I763*H763,2)</f>
        <v>0</v>
      </c>
      <c r="BL763" s="157" t="s">
        <v>103</v>
      </c>
      <c r="BM763" s="668" t="s">
        <v>1488</v>
      </c>
    </row>
    <row r="764" spans="2:65" s="715" customFormat="1" ht="11.4" x14ac:dyDescent="0.25">
      <c r="B764" s="714"/>
      <c r="D764" s="716" t="s">
        <v>868</v>
      </c>
      <c r="E764" s="717" t="s">
        <v>725</v>
      </c>
      <c r="F764" s="718" t="s">
        <v>881</v>
      </c>
      <c r="H764" s="717" t="s">
        <v>725</v>
      </c>
      <c r="K764" s="719"/>
      <c r="L764" s="714"/>
      <c r="M764" s="720"/>
      <c r="T764" s="721"/>
      <c r="AT764" s="717" t="s">
        <v>868</v>
      </c>
      <c r="AU764" s="717" t="s">
        <v>101</v>
      </c>
      <c r="AV764" s="715" t="s">
        <v>99</v>
      </c>
      <c r="AW764" s="715" t="s">
        <v>870</v>
      </c>
      <c r="AX764" s="715" t="s">
        <v>301</v>
      </c>
      <c r="AY764" s="717" t="s">
        <v>863</v>
      </c>
    </row>
    <row r="765" spans="2:65" s="715" customFormat="1" ht="11.4" x14ac:dyDescent="0.25">
      <c r="B765" s="714"/>
      <c r="D765" s="716" t="s">
        <v>868</v>
      </c>
      <c r="E765" s="717" t="s">
        <v>725</v>
      </c>
      <c r="F765" s="718" t="s">
        <v>869</v>
      </c>
      <c r="H765" s="717" t="s">
        <v>725</v>
      </c>
      <c r="K765" s="719"/>
      <c r="L765" s="714"/>
      <c r="M765" s="720"/>
      <c r="T765" s="721"/>
      <c r="AT765" s="717" t="s">
        <v>868</v>
      </c>
      <c r="AU765" s="717" t="s">
        <v>101</v>
      </c>
      <c r="AV765" s="715" t="s">
        <v>99</v>
      </c>
      <c r="AW765" s="715" t="s">
        <v>870</v>
      </c>
      <c r="AX765" s="715" t="s">
        <v>301</v>
      </c>
      <c r="AY765" s="717" t="s">
        <v>863</v>
      </c>
    </row>
    <row r="766" spans="2:65" s="715" customFormat="1" ht="11.4" x14ac:dyDescent="0.25">
      <c r="B766" s="714"/>
      <c r="D766" s="716" t="s">
        <v>868</v>
      </c>
      <c r="E766" s="717" t="s">
        <v>725</v>
      </c>
      <c r="F766" s="718" t="s">
        <v>887</v>
      </c>
      <c r="H766" s="717" t="s">
        <v>725</v>
      </c>
      <c r="K766" s="719"/>
      <c r="L766" s="714"/>
      <c r="M766" s="720"/>
      <c r="T766" s="721"/>
      <c r="AT766" s="717" t="s">
        <v>868</v>
      </c>
      <c r="AU766" s="717" t="s">
        <v>101</v>
      </c>
      <c r="AV766" s="715" t="s">
        <v>99</v>
      </c>
      <c r="AW766" s="715" t="s">
        <v>870</v>
      </c>
      <c r="AX766" s="715" t="s">
        <v>301</v>
      </c>
      <c r="AY766" s="717" t="s">
        <v>863</v>
      </c>
    </row>
    <row r="767" spans="2:65" s="715" customFormat="1" ht="11.4" x14ac:dyDescent="0.25">
      <c r="B767" s="714"/>
      <c r="D767" s="716" t="s">
        <v>868</v>
      </c>
      <c r="E767" s="717" t="s">
        <v>725</v>
      </c>
      <c r="F767" s="718" t="s">
        <v>888</v>
      </c>
      <c r="H767" s="717" t="s">
        <v>725</v>
      </c>
      <c r="K767" s="719"/>
      <c r="L767" s="714"/>
      <c r="M767" s="720"/>
      <c r="T767" s="721"/>
      <c r="AT767" s="717" t="s">
        <v>868</v>
      </c>
      <c r="AU767" s="717" t="s">
        <v>101</v>
      </c>
      <c r="AV767" s="715" t="s">
        <v>99</v>
      </c>
      <c r="AW767" s="715" t="s">
        <v>870</v>
      </c>
      <c r="AX767" s="715" t="s">
        <v>301</v>
      </c>
      <c r="AY767" s="717" t="s">
        <v>863</v>
      </c>
    </row>
    <row r="768" spans="2:65" s="723" customFormat="1" ht="11.4" x14ac:dyDescent="0.25">
      <c r="B768" s="722"/>
      <c r="D768" s="716" t="s">
        <v>868</v>
      </c>
      <c r="E768" s="724" t="s">
        <v>725</v>
      </c>
      <c r="F768" s="725" t="s">
        <v>721</v>
      </c>
      <c r="H768" s="726">
        <v>33.49</v>
      </c>
      <c r="K768" s="727"/>
      <c r="L768" s="722"/>
      <c r="M768" s="728"/>
      <c r="T768" s="729"/>
      <c r="AT768" s="724" t="s">
        <v>868</v>
      </c>
      <c r="AU768" s="724" t="s">
        <v>101</v>
      </c>
      <c r="AV768" s="723" t="s">
        <v>101</v>
      </c>
      <c r="AW768" s="723" t="s">
        <v>870</v>
      </c>
      <c r="AX768" s="723" t="s">
        <v>301</v>
      </c>
      <c r="AY768" s="724" t="s">
        <v>863</v>
      </c>
    </row>
    <row r="769" spans="2:51" s="723" customFormat="1" ht="11.4" x14ac:dyDescent="0.25">
      <c r="B769" s="722"/>
      <c r="D769" s="716" t="s">
        <v>868</v>
      </c>
      <c r="E769" s="724" t="s">
        <v>725</v>
      </c>
      <c r="F769" s="725" t="s">
        <v>714</v>
      </c>
      <c r="H769" s="726">
        <v>368.67</v>
      </c>
      <c r="K769" s="727"/>
      <c r="L769" s="722"/>
      <c r="M769" s="728"/>
      <c r="T769" s="729"/>
      <c r="AT769" s="724" t="s">
        <v>868</v>
      </c>
      <c r="AU769" s="724" t="s">
        <v>101</v>
      </c>
      <c r="AV769" s="723" t="s">
        <v>101</v>
      </c>
      <c r="AW769" s="723" t="s">
        <v>870</v>
      </c>
      <c r="AX769" s="723" t="s">
        <v>301</v>
      </c>
      <c r="AY769" s="724" t="s">
        <v>863</v>
      </c>
    </row>
    <row r="770" spans="2:51" s="723" customFormat="1" ht="11.4" x14ac:dyDescent="0.25">
      <c r="B770" s="722"/>
      <c r="D770" s="716" t="s">
        <v>868</v>
      </c>
      <c r="E770" s="724" t="s">
        <v>725</v>
      </c>
      <c r="F770" s="725" t="s">
        <v>786</v>
      </c>
      <c r="H770" s="726">
        <v>10.43</v>
      </c>
      <c r="K770" s="727"/>
      <c r="L770" s="722"/>
      <c r="M770" s="728"/>
      <c r="T770" s="729"/>
      <c r="AT770" s="724" t="s">
        <v>868</v>
      </c>
      <c r="AU770" s="724" t="s">
        <v>101</v>
      </c>
      <c r="AV770" s="723" t="s">
        <v>101</v>
      </c>
      <c r="AW770" s="723" t="s">
        <v>870</v>
      </c>
      <c r="AX770" s="723" t="s">
        <v>301</v>
      </c>
      <c r="AY770" s="724" t="s">
        <v>863</v>
      </c>
    </row>
    <row r="771" spans="2:51" s="723" customFormat="1" ht="11.4" x14ac:dyDescent="0.25">
      <c r="B771" s="722"/>
      <c r="D771" s="716" t="s">
        <v>868</v>
      </c>
      <c r="E771" s="724" t="s">
        <v>725</v>
      </c>
      <c r="F771" s="725" t="s">
        <v>790</v>
      </c>
      <c r="H771" s="726">
        <v>2.4500000000000002</v>
      </c>
      <c r="K771" s="727"/>
      <c r="L771" s="722"/>
      <c r="M771" s="728"/>
      <c r="T771" s="729"/>
      <c r="AT771" s="724" t="s">
        <v>868</v>
      </c>
      <c r="AU771" s="724" t="s">
        <v>101</v>
      </c>
      <c r="AV771" s="723" t="s">
        <v>101</v>
      </c>
      <c r="AW771" s="723" t="s">
        <v>870</v>
      </c>
      <c r="AX771" s="723" t="s">
        <v>301</v>
      </c>
      <c r="AY771" s="724" t="s">
        <v>863</v>
      </c>
    </row>
    <row r="772" spans="2:51" s="723" customFormat="1" ht="11.4" x14ac:dyDescent="0.25">
      <c r="B772" s="722"/>
      <c r="D772" s="716" t="s">
        <v>868</v>
      </c>
      <c r="E772" s="724" t="s">
        <v>725</v>
      </c>
      <c r="F772" s="725" t="s">
        <v>710</v>
      </c>
      <c r="H772" s="726">
        <v>63.62</v>
      </c>
      <c r="K772" s="727"/>
      <c r="L772" s="722"/>
      <c r="M772" s="728"/>
      <c r="T772" s="729"/>
      <c r="AT772" s="724" t="s">
        <v>868</v>
      </c>
      <c r="AU772" s="724" t="s">
        <v>101</v>
      </c>
      <c r="AV772" s="723" t="s">
        <v>101</v>
      </c>
      <c r="AW772" s="723" t="s">
        <v>870</v>
      </c>
      <c r="AX772" s="723" t="s">
        <v>301</v>
      </c>
      <c r="AY772" s="724" t="s">
        <v>863</v>
      </c>
    </row>
    <row r="773" spans="2:51" s="723" customFormat="1" ht="11.4" x14ac:dyDescent="0.25">
      <c r="B773" s="722"/>
      <c r="D773" s="716" t="s">
        <v>868</v>
      </c>
      <c r="E773" s="724" t="s">
        <v>725</v>
      </c>
      <c r="F773" s="725" t="s">
        <v>707</v>
      </c>
      <c r="H773" s="726">
        <v>24.75</v>
      </c>
      <c r="K773" s="727"/>
      <c r="L773" s="722"/>
      <c r="M773" s="728"/>
      <c r="T773" s="729"/>
      <c r="AT773" s="724" t="s">
        <v>868</v>
      </c>
      <c r="AU773" s="724" t="s">
        <v>101</v>
      </c>
      <c r="AV773" s="723" t="s">
        <v>101</v>
      </c>
      <c r="AW773" s="723" t="s">
        <v>870</v>
      </c>
      <c r="AX773" s="723" t="s">
        <v>301</v>
      </c>
      <c r="AY773" s="724" t="s">
        <v>863</v>
      </c>
    </row>
    <row r="774" spans="2:51" s="723" customFormat="1" ht="11.4" x14ac:dyDescent="0.25">
      <c r="B774" s="722"/>
      <c r="D774" s="716" t="s">
        <v>868</v>
      </c>
      <c r="E774" s="724" t="s">
        <v>725</v>
      </c>
      <c r="F774" s="725" t="s">
        <v>703</v>
      </c>
      <c r="H774" s="726">
        <v>33.274999999999999</v>
      </c>
      <c r="K774" s="727"/>
      <c r="L774" s="722"/>
      <c r="M774" s="728"/>
      <c r="T774" s="729"/>
      <c r="AT774" s="724" t="s">
        <v>868</v>
      </c>
      <c r="AU774" s="724" t="s">
        <v>101</v>
      </c>
      <c r="AV774" s="723" t="s">
        <v>101</v>
      </c>
      <c r="AW774" s="723" t="s">
        <v>870</v>
      </c>
      <c r="AX774" s="723" t="s">
        <v>301</v>
      </c>
      <c r="AY774" s="724" t="s">
        <v>863</v>
      </c>
    </row>
    <row r="775" spans="2:51" s="723" customFormat="1" ht="11.4" x14ac:dyDescent="0.25">
      <c r="B775" s="722"/>
      <c r="D775" s="716" t="s">
        <v>868</v>
      </c>
      <c r="E775" s="724" t="s">
        <v>725</v>
      </c>
      <c r="F775" s="725" t="s">
        <v>694</v>
      </c>
      <c r="H775" s="726">
        <v>88</v>
      </c>
      <c r="K775" s="727"/>
      <c r="L775" s="722"/>
      <c r="M775" s="728"/>
      <c r="T775" s="729"/>
      <c r="AT775" s="724" t="s">
        <v>868</v>
      </c>
      <c r="AU775" s="724" t="s">
        <v>101</v>
      </c>
      <c r="AV775" s="723" t="s">
        <v>101</v>
      </c>
      <c r="AW775" s="723" t="s">
        <v>870</v>
      </c>
      <c r="AX775" s="723" t="s">
        <v>301</v>
      </c>
      <c r="AY775" s="724" t="s">
        <v>863</v>
      </c>
    </row>
    <row r="776" spans="2:51" s="723" customFormat="1" ht="11.4" x14ac:dyDescent="0.25">
      <c r="B776" s="722"/>
      <c r="D776" s="716" t="s">
        <v>868</v>
      </c>
      <c r="E776" s="724" t="s">
        <v>725</v>
      </c>
      <c r="F776" s="725" t="s">
        <v>700</v>
      </c>
      <c r="H776" s="726">
        <v>19.25</v>
      </c>
      <c r="K776" s="727"/>
      <c r="L776" s="722"/>
      <c r="M776" s="728"/>
      <c r="T776" s="729"/>
      <c r="AT776" s="724" t="s">
        <v>868</v>
      </c>
      <c r="AU776" s="724" t="s">
        <v>101</v>
      </c>
      <c r="AV776" s="723" t="s">
        <v>101</v>
      </c>
      <c r="AW776" s="723" t="s">
        <v>870</v>
      </c>
      <c r="AX776" s="723" t="s">
        <v>301</v>
      </c>
      <c r="AY776" s="724" t="s">
        <v>863</v>
      </c>
    </row>
    <row r="777" spans="2:51" s="723" customFormat="1" ht="11.4" x14ac:dyDescent="0.25">
      <c r="B777" s="722"/>
      <c r="D777" s="716" t="s">
        <v>868</v>
      </c>
      <c r="E777" s="724" t="s">
        <v>725</v>
      </c>
      <c r="F777" s="725" t="s">
        <v>727</v>
      </c>
      <c r="H777" s="726">
        <v>1088.2</v>
      </c>
      <c r="K777" s="727"/>
      <c r="L777" s="722"/>
      <c r="M777" s="728"/>
      <c r="T777" s="729"/>
      <c r="AT777" s="724" t="s">
        <v>868</v>
      </c>
      <c r="AU777" s="724" t="s">
        <v>101</v>
      </c>
      <c r="AV777" s="723" t="s">
        <v>101</v>
      </c>
      <c r="AW777" s="723" t="s">
        <v>870</v>
      </c>
      <c r="AX777" s="723" t="s">
        <v>301</v>
      </c>
      <c r="AY777" s="724" t="s">
        <v>863</v>
      </c>
    </row>
    <row r="778" spans="2:51" s="723" customFormat="1" ht="11.4" x14ac:dyDescent="0.25">
      <c r="B778" s="722"/>
      <c r="D778" s="716" t="s">
        <v>868</v>
      </c>
      <c r="E778" s="724" t="s">
        <v>725</v>
      </c>
      <c r="F778" s="725" t="s">
        <v>733</v>
      </c>
      <c r="H778" s="726">
        <v>439.13</v>
      </c>
      <c r="K778" s="727"/>
      <c r="L778" s="722"/>
      <c r="M778" s="728"/>
      <c r="T778" s="729"/>
      <c r="AT778" s="724" t="s">
        <v>868</v>
      </c>
      <c r="AU778" s="724" t="s">
        <v>101</v>
      </c>
      <c r="AV778" s="723" t="s">
        <v>101</v>
      </c>
      <c r="AW778" s="723" t="s">
        <v>870</v>
      </c>
      <c r="AX778" s="723" t="s">
        <v>301</v>
      </c>
      <c r="AY778" s="724" t="s">
        <v>863</v>
      </c>
    </row>
    <row r="779" spans="2:51" s="723" customFormat="1" ht="11.4" x14ac:dyDescent="0.25">
      <c r="B779" s="722"/>
      <c r="D779" s="716" t="s">
        <v>868</v>
      </c>
      <c r="E779" s="724" t="s">
        <v>725</v>
      </c>
      <c r="F779" s="725" t="s">
        <v>741</v>
      </c>
      <c r="H779" s="726">
        <v>10.24</v>
      </c>
      <c r="K779" s="727"/>
      <c r="L779" s="722"/>
      <c r="M779" s="728"/>
      <c r="T779" s="729"/>
      <c r="AT779" s="724" t="s">
        <v>868</v>
      </c>
      <c r="AU779" s="724" t="s">
        <v>101</v>
      </c>
      <c r="AV779" s="723" t="s">
        <v>101</v>
      </c>
      <c r="AW779" s="723" t="s">
        <v>870</v>
      </c>
      <c r="AX779" s="723" t="s">
        <v>301</v>
      </c>
      <c r="AY779" s="724" t="s">
        <v>863</v>
      </c>
    </row>
    <row r="780" spans="2:51" s="723" customFormat="1" ht="11.4" x14ac:dyDescent="0.25">
      <c r="B780" s="722"/>
      <c r="D780" s="716" t="s">
        <v>868</v>
      </c>
      <c r="E780" s="724" t="s">
        <v>725</v>
      </c>
      <c r="F780" s="725" t="s">
        <v>793</v>
      </c>
      <c r="H780" s="726">
        <v>1.33</v>
      </c>
      <c r="K780" s="727"/>
      <c r="L780" s="722"/>
      <c r="M780" s="728"/>
      <c r="T780" s="729"/>
      <c r="AT780" s="724" t="s">
        <v>868</v>
      </c>
      <c r="AU780" s="724" t="s">
        <v>101</v>
      </c>
      <c r="AV780" s="723" t="s">
        <v>101</v>
      </c>
      <c r="AW780" s="723" t="s">
        <v>870</v>
      </c>
      <c r="AX780" s="723" t="s">
        <v>301</v>
      </c>
      <c r="AY780" s="724" t="s">
        <v>863</v>
      </c>
    </row>
    <row r="781" spans="2:51" s="723" customFormat="1" ht="11.4" x14ac:dyDescent="0.25">
      <c r="B781" s="722"/>
      <c r="D781" s="716" t="s">
        <v>868</v>
      </c>
      <c r="E781" s="724" t="s">
        <v>725</v>
      </c>
      <c r="F781" s="725" t="s">
        <v>796</v>
      </c>
      <c r="H781" s="726">
        <v>10.59</v>
      </c>
      <c r="K781" s="727"/>
      <c r="L781" s="722"/>
      <c r="M781" s="728"/>
      <c r="T781" s="729"/>
      <c r="AT781" s="724" t="s">
        <v>868</v>
      </c>
      <c r="AU781" s="724" t="s">
        <v>101</v>
      </c>
      <c r="AV781" s="723" t="s">
        <v>101</v>
      </c>
      <c r="AW781" s="723" t="s">
        <v>870</v>
      </c>
      <c r="AX781" s="723" t="s">
        <v>301</v>
      </c>
      <c r="AY781" s="724" t="s">
        <v>863</v>
      </c>
    </row>
    <row r="782" spans="2:51" s="723" customFormat="1" ht="11.4" x14ac:dyDescent="0.25">
      <c r="B782" s="722"/>
      <c r="D782" s="716" t="s">
        <v>868</v>
      </c>
      <c r="E782" s="724" t="s">
        <v>725</v>
      </c>
      <c r="F782" s="725" t="s">
        <v>800</v>
      </c>
      <c r="H782" s="726">
        <v>1.03</v>
      </c>
      <c r="K782" s="727"/>
      <c r="L782" s="722"/>
      <c r="M782" s="728"/>
      <c r="T782" s="729"/>
      <c r="AT782" s="724" t="s">
        <v>868</v>
      </c>
      <c r="AU782" s="724" t="s">
        <v>101</v>
      </c>
      <c r="AV782" s="723" t="s">
        <v>101</v>
      </c>
      <c r="AW782" s="723" t="s">
        <v>870</v>
      </c>
      <c r="AX782" s="723" t="s">
        <v>301</v>
      </c>
      <c r="AY782" s="724" t="s">
        <v>863</v>
      </c>
    </row>
    <row r="783" spans="2:51" s="723" customFormat="1" ht="11.4" x14ac:dyDescent="0.25">
      <c r="B783" s="722"/>
      <c r="D783" s="716" t="s">
        <v>868</v>
      </c>
      <c r="E783" s="724" t="s">
        <v>725</v>
      </c>
      <c r="F783" s="725" t="s">
        <v>803</v>
      </c>
      <c r="H783" s="726">
        <v>6.39</v>
      </c>
      <c r="K783" s="727"/>
      <c r="L783" s="722"/>
      <c r="M783" s="728"/>
      <c r="T783" s="729"/>
      <c r="AT783" s="724" t="s">
        <v>868</v>
      </c>
      <c r="AU783" s="724" t="s">
        <v>101</v>
      </c>
      <c r="AV783" s="723" t="s">
        <v>101</v>
      </c>
      <c r="AW783" s="723" t="s">
        <v>870</v>
      </c>
      <c r="AX783" s="723" t="s">
        <v>301</v>
      </c>
      <c r="AY783" s="724" t="s">
        <v>863</v>
      </c>
    </row>
    <row r="784" spans="2:51" s="723" customFormat="1" ht="11.4" x14ac:dyDescent="0.25">
      <c r="B784" s="722"/>
      <c r="D784" s="716" t="s">
        <v>868</v>
      </c>
      <c r="E784" s="724" t="s">
        <v>725</v>
      </c>
      <c r="F784" s="725" t="s">
        <v>746</v>
      </c>
      <c r="H784" s="726">
        <v>411.88</v>
      </c>
      <c r="K784" s="727"/>
      <c r="L784" s="722"/>
      <c r="M784" s="728"/>
      <c r="T784" s="729"/>
      <c r="AT784" s="724" t="s">
        <v>868</v>
      </c>
      <c r="AU784" s="724" t="s">
        <v>101</v>
      </c>
      <c r="AV784" s="723" t="s">
        <v>101</v>
      </c>
      <c r="AW784" s="723" t="s">
        <v>870</v>
      </c>
      <c r="AX784" s="723" t="s">
        <v>301</v>
      </c>
      <c r="AY784" s="724" t="s">
        <v>863</v>
      </c>
    </row>
    <row r="785" spans="2:65" s="723" customFormat="1" ht="11.4" x14ac:dyDescent="0.25">
      <c r="B785" s="722"/>
      <c r="D785" s="716" t="s">
        <v>868</v>
      </c>
      <c r="E785" s="724" t="s">
        <v>725</v>
      </c>
      <c r="F785" s="725" t="s">
        <v>749</v>
      </c>
      <c r="H785" s="726">
        <v>33.229999999999997</v>
      </c>
      <c r="K785" s="727"/>
      <c r="L785" s="722"/>
      <c r="M785" s="728"/>
      <c r="T785" s="729"/>
      <c r="AT785" s="724" t="s">
        <v>868</v>
      </c>
      <c r="AU785" s="724" t="s">
        <v>101</v>
      </c>
      <c r="AV785" s="723" t="s">
        <v>101</v>
      </c>
      <c r="AW785" s="723" t="s">
        <v>870</v>
      </c>
      <c r="AX785" s="723" t="s">
        <v>301</v>
      </c>
      <c r="AY785" s="724" t="s">
        <v>863</v>
      </c>
    </row>
    <row r="786" spans="2:65" s="723" customFormat="1" ht="11.4" x14ac:dyDescent="0.25">
      <c r="B786" s="722"/>
      <c r="D786" s="716" t="s">
        <v>868</v>
      </c>
      <c r="E786" s="724" t="s">
        <v>725</v>
      </c>
      <c r="F786" s="725" t="s">
        <v>809</v>
      </c>
      <c r="H786" s="726">
        <v>19.7</v>
      </c>
      <c r="K786" s="727"/>
      <c r="L786" s="722"/>
      <c r="M786" s="728"/>
      <c r="T786" s="729"/>
      <c r="AT786" s="724" t="s">
        <v>868</v>
      </c>
      <c r="AU786" s="724" t="s">
        <v>101</v>
      </c>
      <c r="AV786" s="723" t="s">
        <v>101</v>
      </c>
      <c r="AW786" s="723" t="s">
        <v>870</v>
      </c>
      <c r="AX786" s="723" t="s">
        <v>301</v>
      </c>
      <c r="AY786" s="724" t="s">
        <v>863</v>
      </c>
    </row>
    <row r="787" spans="2:65" s="723" customFormat="1" ht="11.4" x14ac:dyDescent="0.25">
      <c r="B787" s="722"/>
      <c r="D787" s="716" t="s">
        <v>868</v>
      </c>
      <c r="E787" s="724" t="s">
        <v>725</v>
      </c>
      <c r="F787" s="725" t="s">
        <v>814</v>
      </c>
      <c r="H787" s="726">
        <v>11.82</v>
      </c>
      <c r="K787" s="727"/>
      <c r="L787" s="722"/>
      <c r="M787" s="728"/>
      <c r="T787" s="729"/>
      <c r="AT787" s="724" t="s">
        <v>868</v>
      </c>
      <c r="AU787" s="724" t="s">
        <v>101</v>
      </c>
      <c r="AV787" s="723" t="s">
        <v>101</v>
      </c>
      <c r="AW787" s="723" t="s">
        <v>870</v>
      </c>
      <c r="AX787" s="723" t="s">
        <v>301</v>
      </c>
      <c r="AY787" s="724" t="s">
        <v>863</v>
      </c>
    </row>
    <row r="788" spans="2:65" s="723" customFormat="1" ht="11.4" x14ac:dyDescent="0.25">
      <c r="B788" s="722"/>
      <c r="D788" s="716" t="s">
        <v>868</v>
      </c>
      <c r="E788" s="724" t="s">
        <v>725</v>
      </c>
      <c r="F788" s="725" t="s">
        <v>759</v>
      </c>
      <c r="H788" s="726">
        <v>30.16</v>
      </c>
      <c r="K788" s="727"/>
      <c r="L788" s="722"/>
      <c r="M788" s="728"/>
      <c r="T788" s="729"/>
      <c r="AT788" s="724" t="s">
        <v>868</v>
      </c>
      <c r="AU788" s="724" t="s">
        <v>101</v>
      </c>
      <c r="AV788" s="723" t="s">
        <v>101</v>
      </c>
      <c r="AW788" s="723" t="s">
        <v>870</v>
      </c>
      <c r="AX788" s="723" t="s">
        <v>301</v>
      </c>
      <c r="AY788" s="724" t="s">
        <v>863</v>
      </c>
    </row>
    <row r="789" spans="2:65" s="723" customFormat="1" ht="11.4" x14ac:dyDescent="0.25">
      <c r="B789" s="722"/>
      <c r="D789" s="716" t="s">
        <v>868</v>
      </c>
      <c r="E789" s="724" t="s">
        <v>725</v>
      </c>
      <c r="F789" s="725" t="s">
        <v>818</v>
      </c>
      <c r="H789" s="726">
        <v>8.14</v>
      </c>
      <c r="K789" s="727"/>
      <c r="L789" s="722"/>
      <c r="M789" s="728"/>
      <c r="T789" s="729"/>
      <c r="AT789" s="724" t="s">
        <v>868</v>
      </c>
      <c r="AU789" s="724" t="s">
        <v>101</v>
      </c>
      <c r="AV789" s="723" t="s">
        <v>101</v>
      </c>
      <c r="AW789" s="723" t="s">
        <v>870</v>
      </c>
      <c r="AX789" s="723" t="s">
        <v>301</v>
      </c>
      <c r="AY789" s="724" t="s">
        <v>863</v>
      </c>
    </row>
    <row r="790" spans="2:65" s="723" customFormat="1" ht="11.4" x14ac:dyDescent="0.25">
      <c r="B790" s="722"/>
      <c r="D790" s="716" t="s">
        <v>868</v>
      </c>
      <c r="E790" s="724" t="s">
        <v>725</v>
      </c>
      <c r="F790" s="725" t="s">
        <v>767</v>
      </c>
      <c r="H790" s="726">
        <v>149.35</v>
      </c>
      <c r="K790" s="727"/>
      <c r="L790" s="722"/>
      <c r="M790" s="728"/>
      <c r="T790" s="729"/>
      <c r="AT790" s="724" t="s">
        <v>868</v>
      </c>
      <c r="AU790" s="724" t="s">
        <v>101</v>
      </c>
      <c r="AV790" s="723" t="s">
        <v>101</v>
      </c>
      <c r="AW790" s="723" t="s">
        <v>870</v>
      </c>
      <c r="AX790" s="723" t="s">
        <v>301</v>
      </c>
      <c r="AY790" s="724" t="s">
        <v>863</v>
      </c>
    </row>
    <row r="791" spans="2:65" s="723" customFormat="1" ht="11.4" x14ac:dyDescent="0.25">
      <c r="B791" s="722"/>
      <c r="D791" s="716" t="s">
        <v>868</v>
      </c>
      <c r="E791" s="724" t="s">
        <v>725</v>
      </c>
      <c r="F791" s="725" t="s">
        <v>770</v>
      </c>
      <c r="H791" s="726">
        <v>2.92</v>
      </c>
      <c r="K791" s="727"/>
      <c r="L791" s="722"/>
      <c r="M791" s="728"/>
      <c r="T791" s="729"/>
      <c r="AT791" s="724" t="s">
        <v>868</v>
      </c>
      <c r="AU791" s="724" t="s">
        <v>101</v>
      </c>
      <c r="AV791" s="723" t="s">
        <v>101</v>
      </c>
      <c r="AW791" s="723" t="s">
        <v>870</v>
      </c>
      <c r="AX791" s="723" t="s">
        <v>301</v>
      </c>
      <c r="AY791" s="724" t="s">
        <v>863</v>
      </c>
    </row>
    <row r="792" spans="2:65" s="723" customFormat="1" ht="11.4" x14ac:dyDescent="0.25">
      <c r="B792" s="722"/>
      <c r="D792" s="716" t="s">
        <v>868</v>
      </c>
      <c r="E792" s="724" t="s">
        <v>725</v>
      </c>
      <c r="F792" s="725" t="s">
        <v>775</v>
      </c>
      <c r="H792" s="726">
        <v>39.49</v>
      </c>
      <c r="K792" s="727"/>
      <c r="L792" s="722"/>
      <c r="M792" s="728"/>
      <c r="T792" s="729"/>
      <c r="AT792" s="724" t="s">
        <v>868</v>
      </c>
      <c r="AU792" s="724" t="s">
        <v>101</v>
      </c>
      <c r="AV792" s="723" t="s">
        <v>101</v>
      </c>
      <c r="AW792" s="723" t="s">
        <v>870</v>
      </c>
      <c r="AX792" s="723" t="s">
        <v>301</v>
      </c>
      <c r="AY792" s="724" t="s">
        <v>863</v>
      </c>
    </row>
    <row r="793" spans="2:65" s="723" customFormat="1" ht="11.4" x14ac:dyDescent="0.25">
      <c r="B793" s="722"/>
      <c r="D793" s="716" t="s">
        <v>868</v>
      </c>
      <c r="E793" s="724" t="s">
        <v>725</v>
      </c>
      <c r="F793" s="725" t="s">
        <v>779</v>
      </c>
      <c r="H793" s="726">
        <v>21.36</v>
      </c>
      <c r="K793" s="727"/>
      <c r="L793" s="722"/>
      <c r="M793" s="728"/>
      <c r="T793" s="729"/>
      <c r="AT793" s="724" t="s">
        <v>868</v>
      </c>
      <c r="AU793" s="724" t="s">
        <v>101</v>
      </c>
      <c r="AV793" s="723" t="s">
        <v>101</v>
      </c>
      <c r="AW793" s="723" t="s">
        <v>870</v>
      </c>
      <c r="AX793" s="723" t="s">
        <v>301</v>
      </c>
      <c r="AY793" s="724" t="s">
        <v>863</v>
      </c>
    </row>
    <row r="794" spans="2:65" s="723" customFormat="1" ht="11.4" x14ac:dyDescent="0.25">
      <c r="B794" s="722"/>
      <c r="D794" s="716" t="s">
        <v>868</v>
      </c>
      <c r="E794" s="724" t="s">
        <v>725</v>
      </c>
      <c r="F794" s="725" t="s">
        <v>782</v>
      </c>
      <c r="H794" s="726">
        <v>8.18</v>
      </c>
      <c r="K794" s="727"/>
      <c r="L794" s="722"/>
      <c r="M794" s="728"/>
      <c r="T794" s="729"/>
      <c r="AT794" s="724" t="s">
        <v>868</v>
      </c>
      <c r="AU794" s="724" t="s">
        <v>101</v>
      </c>
      <c r="AV794" s="723" t="s">
        <v>101</v>
      </c>
      <c r="AW794" s="723" t="s">
        <v>870</v>
      </c>
      <c r="AX794" s="723" t="s">
        <v>301</v>
      </c>
      <c r="AY794" s="724" t="s">
        <v>863</v>
      </c>
    </row>
    <row r="795" spans="2:65" s="731" customFormat="1" ht="11.4" x14ac:dyDescent="0.25">
      <c r="B795" s="730"/>
      <c r="D795" s="716" t="s">
        <v>868</v>
      </c>
      <c r="E795" s="732" t="s">
        <v>725</v>
      </c>
      <c r="F795" s="733" t="s">
        <v>873</v>
      </c>
      <c r="H795" s="734">
        <v>2937.0749999999998</v>
      </c>
      <c r="K795" s="735"/>
      <c r="L795" s="730"/>
      <c r="M795" s="736"/>
      <c r="T795" s="737"/>
      <c r="AT795" s="732" t="s">
        <v>868</v>
      </c>
      <c r="AU795" s="732" t="s">
        <v>101</v>
      </c>
      <c r="AV795" s="731" t="s">
        <v>103</v>
      </c>
      <c r="AW795" s="731" t="s">
        <v>870</v>
      </c>
      <c r="AX795" s="731" t="s">
        <v>99</v>
      </c>
      <c r="AY795" s="732" t="s">
        <v>863</v>
      </c>
    </row>
    <row r="796" spans="2:65" s="163" customFormat="1" ht="28.2" customHeight="1" x14ac:dyDescent="0.25">
      <c r="B796" s="702"/>
      <c r="C796" s="703" t="s">
        <v>1489</v>
      </c>
      <c r="D796" s="703" t="s">
        <v>864</v>
      </c>
      <c r="E796" s="704" t="s">
        <v>1490</v>
      </c>
      <c r="F796" s="705" t="s">
        <v>1491</v>
      </c>
      <c r="G796" s="706" t="s">
        <v>140</v>
      </c>
      <c r="H796" s="707">
        <v>50.14</v>
      </c>
      <c r="I796" s="708"/>
      <c r="J796" s="708">
        <f>ROUND(I796*H796,2)</f>
        <v>0</v>
      </c>
      <c r="K796" s="705" t="s">
        <v>2622</v>
      </c>
      <c r="L796" s="164"/>
      <c r="M796" s="709" t="s">
        <v>725</v>
      </c>
      <c r="N796" s="710" t="s">
        <v>813</v>
      </c>
      <c r="O796" s="711">
        <v>6.7000000000000004E-2</v>
      </c>
      <c r="P796" s="711">
        <f>O796*H796</f>
        <v>3.3593800000000003</v>
      </c>
      <c r="Q796" s="711">
        <v>0</v>
      </c>
      <c r="R796" s="711">
        <f>Q796*H796</f>
        <v>0</v>
      </c>
      <c r="S796" s="711">
        <v>0</v>
      </c>
      <c r="T796" s="712">
        <f>S796*H796</f>
        <v>0</v>
      </c>
      <c r="AR796" s="668" t="s">
        <v>103</v>
      </c>
      <c r="AT796" s="668" t="s">
        <v>864</v>
      </c>
      <c r="AU796" s="668" t="s">
        <v>101</v>
      </c>
      <c r="AY796" s="157" t="s">
        <v>863</v>
      </c>
      <c r="BE796" s="713">
        <f>IF(N796="základní",J796,0)</f>
        <v>0</v>
      </c>
      <c r="BF796" s="713">
        <f>IF(N796="snížená",J796,0)</f>
        <v>0</v>
      </c>
      <c r="BG796" s="713">
        <f>IF(N796="zákl. přenesená",J796,0)</f>
        <v>0</v>
      </c>
      <c r="BH796" s="713">
        <f>IF(N796="sníž. přenesená",J796,0)</f>
        <v>0</v>
      </c>
      <c r="BI796" s="713">
        <f>IF(N796="nulová",J796,0)</f>
        <v>0</v>
      </c>
      <c r="BJ796" s="157" t="s">
        <v>99</v>
      </c>
      <c r="BK796" s="713">
        <f>ROUND(I796*H796,2)</f>
        <v>0</v>
      </c>
      <c r="BL796" s="157" t="s">
        <v>103</v>
      </c>
      <c r="BM796" s="668" t="s">
        <v>1492</v>
      </c>
    </row>
    <row r="797" spans="2:65" s="715" customFormat="1" ht="11.4" x14ac:dyDescent="0.25">
      <c r="B797" s="714"/>
      <c r="D797" s="716" t="s">
        <v>868</v>
      </c>
      <c r="E797" s="717" t="s">
        <v>725</v>
      </c>
      <c r="F797" s="718" t="s">
        <v>881</v>
      </c>
      <c r="H797" s="717" t="s">
        <v>725</v>
      </c>
      <c r="K797" s="719"/>
      <c r="L797" s="714"/>
      <c r="M797" s="720"/>
      <c r="T797" s="721"/>
      <c r="AT797" s="717" t="s">
        <v>868</v>
      </c>
      <c r="AU797" s="717" t="s">
        <v>101</v>
      </c>
      <c r="AV797" s="715" t="s">
        <v>99</v>
      </c>
      <c r="AW797" s="715" t="s">
        <v>870</v>
      </c>
      <c r="AX797" s="715" t="s">
        <v>301</v>
      </c>
      <c r="AY797" s="717" t="s">
        <v>863</v>
      </c>
    </row>
    <row r="798" spans="2:65" s="715" customFormat="1" ht="11.4" x14ac:dyDescent="0.25">
      <c r="B798" s="714"/>
      <c r="D798" s="716" t="s">
        <v>868</v>
      </c>
      <c r="E798" s="717" t="s">
        <v>725</v>
      </c>
      <c r="F798" s="718" t="s">
        <v>869</v>
      </c>
      <c r="H798" s="717" t="s">
        <v>725</v>
      </c>
      <c r="K798" s="719"/>
      <c r="L798" s="714"/>
      <c r="M798" s="720"/>
      <c r="T798" s="721"/>
      <c r="AT798" s="717" t="s">
        <v>868</v>
      </c>
      <c r="AU798" s="717" t="s">
        <v>101</v>
      </c>
      <c r="AV798" s="715" t="s">
        <v>99</v>
      </c>
      <c r="AW798" s="715" t="s">
        <v>870</v>
      </c>
      <c r="AX798" s="715" t="s">
        <v>301</v>
      </c>
      <c r="AY798" s="717" t="s">
        <v>863</v>
      </c>
    </row>
    <row r="799" spans="2:65" s="723" customFormat="1" ht="11.4" x14ac:dyDescent="0.25">
      <c r="B799" s="722"/>
      <c r="D799" s="716" t="s">
        <v>868</v>
      </c>
      <c r="E799" s="724" t="s">
        <v>725</v>
      </c>
      <c r="F799" s="725" t="s">
        <v>1493</v>
      </c>
      <c r="H799" s="726">
        <v>50.14</v>
      </c>
      <c r="K799" s="727"/>
      <c r="L799" s="722"/>
      <c r="M799" s="728"/>
      <c r="T799" s="729"/>
      <c r="AT799" s="724" t="s">
        <v>868</v>
      </c>
      <c r="AU799" s="724" t="s">
        <v>101</v>
      </c>
      <c r="AV799" s="723" t="s">
        <v>101</v>
      </c>
      <c r="AW799" s="723" t="s">
        <v>870</v>
      </c>
      <c r="AX799" s="723" t="s">
        <v>301</v>
      </c>
      <c r="AY799" s="724" t="s">
        <v>863</v>
      </c>
    </row>
    <row r="800" spans="2:65" s="731" customFormat="1" ht="11.4" x14ac:dyDescent="0.25">
      <c r="B800" s="730"/>
      <c r="D800" s="716" t="s">
        <v>868</v>
      </c>
      <c r="E800" s="732" t="s">
        <v>725</v>
      </c>
      <c r="F800" s="733" t="s">
        <v>873</v>
      </c>
      <c r="H800" s="734">
        <v>50.14</v>
      </c>
      <c r="K800" s="735"/>
      <c r="L800" s="730"/>
      <c r="M800" s="736"/>
      <c r="T800" s="737"/>
      <c r="AT800" s="732" t="s">
        <v>868</v>
      </c>
      <c r="AU800" s="732" t="s">
        <v>101</v>
      </c>
      <c r="AV800" s="731" t="s">
        <v>103</v>
      </c>
      <c r="AW800" s="731" t="s">
        <v>870</v>
      </c>
      <c r="AX800" s="731" t="s">
        <v>99</v>
      </c>
      <c r="AY800" s="732" t="s">
        <v>863</v>
      </c>
    </row>
    <row r="801" spans="2:65" s="163" customFormat="1" ht="40.200000000000003" customHeight="1" x14ac:dyDescent="0.25">
      <c r="B801" s="702"/>
      <c r="C801" s="703" t="s">
        <v>1494</v>
      </c>
      <c r="D801" s="703" t="s">
        <v>864</v>
      </c>
      <c r="E801" s="704" t="s">
        <v>1495</v>
      </c>
      <c r="F801" s="705" t="s">
        <v>1496</v>
      </c>
      <c r="G801" s="706" t="s">
        <v>140</v>
      </c>
      <c r="H801" s="707">
        <v>50.14</v>
      </c>
      <c r="I801" s="708"/>
      <c r="J801" s="708">
        <f>ROUND(I801*H801,2)</f>
        <v>0</v>
      </c>
      <c r="K801" s="705" t="s">
        <v>2622</v>
      </c>
      <c r="L801" s="164"/>
      <c r="M801" s="709" t="s">
        <v>725</v>
      </c>
      <c r="N801" s="710" t="s">
        <v>813</v>
      </c>
      <c r="O801" s="711">
        <v>0.186</v>
      </c>
      <c r="P801" s="711">
        <f>O801*H801</f>
        <v>9.3260400000000008</v>
      </c>
      <c r="Q801" s="711">
        <v>6.0999999999999997E-4</v>
      </c>
      <c r="R801" s="711">
        <f>Q801*H801</f>
        <v>3.0585399999999999E-2</v>
      </c>
      <c r="S801" s="711">
        <v>0</v>
      </c>
      <c r="T801" s="712">
        <f>S801*H801</f>
        <v>0</v>
      </c>
      <c r="AR801" s="668" t="s">
        <v>103</v>
      </c>
      <c r="AT801" s="668" t="s">
        <v>864</v>
      </c>
      <c r="AU801" s="668" t="s">
        <v>101</v>
      </c>
      <c r="AY801" s="157" t="s">
        <v>863</v>
      </c>
      <c r="BE801" s="713">
        <f>IF(N801="základní",J801,0)</f>
        <v>0</v>
      </c>
      <c r="BF801" s="713">
        <f>IF(N801="snížená",J801,0)</f>
        <v>0</v>
      </c>
      <c r="BG801" s="713">
        <f>IF(N801="zákl. přenesená",J801,0)</f>
        <v>0</v>
      </c>
      <c r="BH801" s="713">
        <f>IF(N801="sníž. přenesená",J801,0)</f>
        <v>0</v>
      </c>
      <c r="BI801" s="713">
        <f>IF(N801="nulová",J801,0)</f>
        <v>0</v>
      </c>
      <c r="BJ801" s="157" t="s">
        <v>99</v>
      </c>
      <c r="BK801" s="713">
        <f>ROUND(I801*H801,2)</f>
        <v>0</v>
      </c>
      <c r="BL801" s="157" t="s">
        <v>103</v>
      </c>
      <c r="BM801" s="668" t="s">
        <v>1497</v>
      </c>
    </row>
    <row r="802" spans="2:65" s="715" customFormat="1" ht="11.4" x14ac:dyDescent="0.25">
      <c r="B802" s="714"/>
      <c r="D802" s="716" t="s">
        <v>868</v>
      </c>
      <c r="E802" s="717" t="s">
        <v>725</v>
      </c>
      <c r="F802" s="718" t="s">
        <v>881</v>
      </c>
      <c r="H802" s="717" t="s">
        <v>725</v>
      </c>
      <c r="K802" s="719"/>
      <c r="L802" s="714"/>
      <c r="M802" s="720"/>
      <c r="T802" s="721"/>
      <c r="AT802" s="717" t="s">
        <v>868</v>
      </c>
      <c r="AU802" s="717" t="s">
        <v>101</v>
      </c>
      <c r="AV802" s="715" t="s">
        <v>99</v>
      </c>
      <c r="AW802" s="715" t="s">
        <v>870</v>
      </c>
      <c r="AX802" s="715" t="s">
        <v>301</v>
      </c>
      <c r="AY802" s="717" t="s">
        <v>863</v>
      </c>
    </row>
    <row r="803" spans="2:65" s="715" customFormat="1" ht="11.4" x14ac:dyDescent="0.25">
      <c r="B803" s="714"/>
      <c r="D803" s="716" t="s">
        <v>868</v>
      </c>
      <c r="E803" s="717" t="s">
        <v>725</v>
      </c>
      <c r="F803" s="718" t="s">
        <v>869</v>
      </c>
      <c r="H803" s="717" t="s">
        <v>725</v>
      </c>
      <c r="K803" s="719"/>
      <c r="L803" s="714"/>
      <c r="M803" s="720"/>
      <c r="T803" s="721"/>
      <c r="AT803" s="717" t="s">
        <v>868</v>
      </c>
      <c r="AU803" s="717" t="s">
        <v>101</v>
      </c>
      <c r="AV803" s="715" t="s">
        <v>99</v>
      </c>
      <c r="AW803" s="715" t="s">
        <v>870</v>
      </c>
      <c r="AX803" s="715" t="s">
        <v>301</v>
      </c>
      <c r="AY803" s="717" t="s">
        <v>863</v>
      </c>
    </row>
    <row r="804" spans="2:65" s="723" customFormat="1" ht="11.4" x14ac:dyDescent="0.25">
      <c r="B804" s="722"/>
      <c r="D804" s="716" t="s">
        <v>868</v>
      </c>
      <c r="E804" s="724" t="s">
        <v>725</v>
      </c>
      <c r="F804" s="725" t="s">
        <v>1493</v>
      </c>
      <c r="H804" s="726">
        <v>50.14</v>
      </c>
      <c r="K804" s="727"/>
      <c r="L804" s="722"/>
      <c r="M804" s="728"/>
      <c r="T804" s="729"/>
      <c r="AT804" s="724" t="s">
        <v>868</v>
      </c>
      <c r="AU804" s="724" t="s">
        <v>101</v>
      </c>
      <c r="AV804" s="723" t="s">
        <v>101</v>
      </c>
      <c r="AW804" s="723" t="s">
        <v>870</v>
      </c>
      <c r="AX804" s="723" t="s">
        <v>301</v>
      </c>
      <c r="AY804" s="724" t="s">
        <v>863</v>
      </c>
    </row>
    <row r="805" spans="2:65" s="731" customFormat="1" ht="11.4" x14ac:dyDescent="0.25">
      <c r="B805" s="730"/>
      <c r="D805" s="716" t="s">
        <v>868</v>
      </c>
      <c r="E805" s="732" t="s">
        <v>725</v>
      </c>
      <c r="F805" s="733" t="s">
        <v>873</v>
      </c>
      <c r="H805" s="734">
        <v>50.14</v>
      </c>
      <c r="K805" s="735"/>
      <c r="L805" s="730"/>
      <c r="M805" s="736"/>
      <c r="T805" s="737"/>
      <c r="AT805" s="732" t="s">
        <v>868</v>
      </c>
      <c r="AU805" s="732" t="s">
        <v>101</v>
      </c>
      <c r="AV805" s="731" t="s">
        <v>103</v>
      </c>
      <c r="AW805" s="731" t="s">
        <v>870</v>
      </c>
      <c r="AX805" s="731" t="s">
        <v>99</v>
      </c>
      <c r="AY805" s="732" t="s">
        <v>863</v>
      </c>
    </row>
    <row r="806" spans="2:65" s="163" customFormat="1" ht="19.2" customHeight="1" x14ac:dyDescent="0.25">
      <c r="B806" s="702"/>
      <c r="C806" s="703" t="s">
        <v>1498</v>
      </c>
      <c r="D806" s="703" t="s">
        <v>864</v>
      </c>
      <c r="E806" s="704" t="s">
        <v>1499</v>
      </c>
      <c r="F806" s="705" t="s">
        <v>1500</v>
      </c>
      <c r="G806" s="706" t="s">
        <v>140</v>
      </c>
      <c r="H806" s="707">
        <v>55.8</v>
      </c>
      <c r="I806" s="708"/>
      <c r="J806" s="708">
        <f>ROUND(I806*H806,2)</f>
        <v>0</v>
      </c>
      <c r="K806" s="705" t="s">
        <v>2622</v>
      </c>
      <c r="L806" s="164"/>
      <c r="M806" s="709" t="s">
        <v>725</v>
      </c>
      <c r="N806" s="710" t="s">
        <v>813</v>
      </c>
      <c r="O806" s="711">
        <v>0.36899999999999999</v>
      </c>
      <c r="P806" s="711">
        <f>O806*H806</f>
        <v>20.590199999999999</v>
      </c>
      <c r="Q806" s="711">
        <v>0.29221000000000003</v>
      </c>
      <c r="R806" s="711">
        <f>Q806*H806</f>
        <v>16.305318</v>
      </c>
      <c r="S806" s="711">
        <v>0</v>
      </c>
      <c r="T806" s="712">
        <f>S806*H806</f>
        <v>0</v>
      </c>
      <c r="AR806" s="668" t="s">
        <v>103</v>
      </c>
      <c r="AT806" s="668" t="s">
        <v>864</v>
      </c>
      <c r="AU806" s="668" t="s">
        <v>101</v>
      </c>
      <c r="AY806" s="157" t="s">
        <v>863</v>
      </c>
      <c r="BE806" s="713">
        <f>IF(N806="základní",J806,0)</f>
        <v>0</v>
      </c>
      <c r="BF806" s="713">
        <f>IF(N806="snížená",J806,0)</f>
        <v>0</v>
      </c>
      <c r="BG806" s="713">
        <f>IF(N806="zákl. přenesená",J806,0)</f>
        <v>0</v>
      </c>
      <c r="BH806" s="713">
        <f>IF(N806="sníž. přenesená",J806,0)</f>
        <v>0</v>
      </c>
      <c r="BI806" s="713">
        <f>IF(N806="nulová",J806,0)</f>
        <v>0</v>
      </c>
      <c r="BJ806" s="157" t="s">
        <v>99</v>
      </c>
      <c r="BK806" s="713">
        <f>ROUND(I806*H806,2)</f>
        <v>0</v>
      </c>
      <c r="BL806" s="157" t="s">
        <v>103</v>
      </c>
      <c r="BM806" s="668" t="s">
        <v>1501</v>
      </c>
    </row>
    <row r="807" spans="2:65" s="715" customFormat="1" ht="11.4" x14ac:dyDescent="0.25">
      <c r="B807" s="714"/>
      <c r="D807" s="716" t="s">
        <v>868</v>
      </c>
      <c r="E807" s="717" t="s">
        <v>725</v>
      </c>
      <c r="F807" s="718" t="s">
        <v>1502</v>
      </c>
      <c r="H807" s="717" t="s">
        <v>725</v>
      </c>
      <c r="K807" s="719"/>
      <c r="L807" s="714"/>
      <c r="M807" s="720"/>
      <c r="T807" s="721"/>
      <c r="AT807" s="717" t="s">
        <v>868</v>
      </c>
      <c r="AU807" s="717" t="s">
        <v>101</v>
      </c>
      <c r="AV807" s="715" t="s">
        <v>99</v>
      </c>
      <c r="AW807" s="715" t="s">
        <v>870</v>
      </c>
      <c r="AX807" s="715" t="s">
        <v>301</v>
      </c>
      <c r="AY807" s="717" t="s">
        <v>863</v>
      </c>
    </row>
    <row r="808" spans="2:65" s="715" customFormat="1" ht="11.4" x14ac:dyDescent="0.25">
      <c r="B808" s="714"/>
      <c r="D808" s="716" t="s">
        <v>868</v>
      </c>
      <c r="E808" s="717" t="s">
        <v>725</v>
      </c>
      <c r="F808" s="718" t="s">
        <v>886</v>
      </c>
      <c r="H808" s="717" t="s">
        <v>725</v>
      </c>
      <c r="K808" s="719"/>
      <c r="L808" s="714"/>
      <c r="M808" s="720"/>
      <c r="T808" s="721"/>
      <c r="AT808" s="717" t="s">
        <v>868</v>
      </c>
      <c r="AU808" s="717" t="s">
        <v>101</v>
      </c>
      <c r="AV808" s="715" t="s">
        <v>99</v>
      </c>
      <c r="AW808" s="715" t="s">
        <v>870</v>
      </c>
      <c r="AX808" s="715" t="s">
        <v>301</v>
      </c>
      <c r="AY808" s="717" t="s">
        <v>863</v>
      </c>
    </row>
    <row r="809" spans="2:65" s="723" customFormat="1" ht="11.4" x14ac:dyDescent="0.25">
      <c r="B809" s="722"/>
      <c r="D809" s="716" t="s">
        <v>868</v>
      </c>
      <c r="E809" s="724" t="s">
        <v>725</v>
      </c>
      <c r="F809" s="725" t="s">
        <v>1503</v>
      </c>
      <c r="H809" s="726">
        <v>20.8</v>
      </c>
      <c r="K809" s="727"/>
      <c r="L809" s="722"/>
      <c r="M809" s="728"/>
      <c r="T809" s="729"/>
      <c r="AT809" s="724" t="s">
        <v>868</v>
      </c>
      <c r="AU809" s="724" t="s">
        <v>101</v>
      </c>
      <c r="AV809" s="723" t="s">
        <v>101</v>
      </c>
      <c r="AW809" s="723" t="s">
        <v>870</v>
      </c>
      <c r="AX809" s="723" t="s">
        <v>301</v>
      </c>
      <c r="AY809" s="724" t="s">
        <v>863</v>
      </c>
    </row>
    <row r="810" spans="2:65" s="723" customFormat="1" ht="11.4" x14ac:dyDescent="0.25">
      <c r="B810" s="722"/>
      <c r="D810" s="716" t="s">
        <v>868</v>
      </c>
      <c r="E810" s="724" t="s">
        <v>725</v>
      </c>
      <c r="F810" s="725" t="s">
        <v>1504</v>
      </c>
      <c r="H810" s="726">
        <v>35</v>
      </c>
      <c r="K810" s="727"/>
      <c r="L810" s="722"/>
      <c r="M810" s="728"/>
      <c r="T810" s="729"/>
      <c r="AT810" s="724" t="s">
        <v>868</v>
      </c>
      <c r="AU810" s="724" t="s">
        <v>101</v>
      </c>
      <c r="AV810" s="723" t="s">
        <v>101</v>
      </c>
      <c r="AW810" s="723" t="s">
        <v>870</v>
      </c>
      <c r="AX810" s="723" t="s">
        <v>301</v>
      </c>
      <c r="AY810" s="724" t="s">
        <v>863</v>
      </c>
    </row>
    <row r="811" spans="2:65" s="731" customFormat="1" ht="11.4" x14ac:dyDescent="0.25">
      <c r="B811" s="730"/>
      <c r="D811" s="716" t="s">
        <v>868</v>
      </c>
      <c r="E811" s="732" t="s">
        <v>725</v>
      </c>
      <c r="F811" s="733" t="s">
        <v>873</v>
      </c>
      <c r="H811" s="734">
        <v>55.8</v>
      </c>
      <c r="K811" s="735"/>
      <c r="L811" s="730"/>
      <c r="M811" s="736"/>
      <c r="T811" s="737"/>
      <c r="AT811" s="732" t="s">
        <v>868</v>
      </c>
      <c r="AU811" s="732" t="s">
        <v>101</v>
      </c>
      <c r="AV811" s="731" t="s">
        <v>103</v>
      </c>
      <c r="AW811" s="731" t="s">
        <v>870</v>
      </c>
      <c r="AX811" s="731" t="s">
        <v>99</v>
      </c>
      <c r="AY811" s="732" t="s">
        <v>863</v>
      </c>
    </row>
    <row r="812" spans="2:65" s="163" customFormat="1" ht="21.6" customHeight="1" x14ac:dyDescent="0.25">
      <c r="B812" s="702"/>
      <c r="C812" s="738" t="s">
        <v>1505</v>
      </c>
      <c r="D812" s="738" t="s">
        <v>298</v>
      </c>
      <c r="E812" s="739" t="s">
        <v>1506</v>
      </c>
      <c r="F812" s="740" t="s">
        <v>2536</v>
      </c>
      <c r="G812" s="741" t="s">
        <v>920</v>
      </c>
      <c r="H812" s="742">
        <v>0</v>
      </c>
      <c r="I812" s="743"/>
      <c r="J812" s="743">
        <f>ROUND(I812*H812,2)</f>
        <v>0</v>
      </c>
      <c r="K812" s="740" t="s">
        <v>931</v>
      </c>
      <c r="L812" s="744"/>
      <c r="M812" s="745" t="s">
        <v>725</v>
      </c>
      <c r="N812" s="746" t="s">
        <v>813</v>
      </c>
      <c r="O812" s="711">
        <v>0</v>
      </c>
      <c r="P812" s="711">
        <f>O812*H812</f>
        <v>0</v>
      </c>
      <c r="Q812" s="711">
        <v>7.0800000000000002E-2</v>
      </c>
      <c r="R812" s="711">
        <f>Q812*H812</f>
        <v>0</v>
      </c>
      <c r="S812" s="711">
        <v>0</v>
      </c>
      <c r="T812" s="712">
        <f>S812*H812</f>
        <v>0</v>
      </c>
      <c r="AR812" s="668" t="s">
        <v>111</v>
      </c>
      <c r="AT812" s="668" t="s">
        <v>298</v>
      </c>
      <c r="AU812" s="668" t="s">
        <v>101</v>
      </c>
      <c r="AY812" s="157" t="s">
        <v>863</v>
      </c>
      <c r="BE812" s="713">
        <f>IF(N812="základní",J812,0)</f>
        <v>0</v>
      </c>
      <c r="BF812" s="713">
        <f>IF(N812="snížená",J812,0)</f>
        <v>0</v>
      </c>
      <c r="BG812" s="713">
        <f>IF(N812="zákl. přenesená",J812,0)</f>
        <v>0</v>
      </c>
      <c r="BH812" s="713">
        <f>IF(N812="sníž. přenesená",J812,0)</f>
        <v>0</v>
      </c>
      <c r="BI812" s="713">
        <f>IF(N812="nulová",J812,0)</f>
        <v>0</v>
      </c>
      <c r="BJ812" s="157" t="s">
        <v>99</v>
      </c>
      <c r="BK812" s="713">
        <f>ROUND(I812*H812,2)</f>
        <v>0</v>
      </c>
      <c r="BL812" s="157" t="s">
        <v>103</v>
      </c>
      <c r="BM812" s="668" t="s">
        <v>1507</v>
      </c>
    </row>
    <row r="813" spans="2:65" s="723" customFormat="1" ht="11.4" x14ac:dyDescent="0.25">
      <c r="B813" s="722"/>
      <c r="D813" s="716" t="s">
        <v>868</v>
      </c>
      <c r="F813" s="725" t="s">
        <v>1508</v>
      </c>
      <c r="H813" s="726">
        <v>34.68</v>
      </c>
      <c r="K813" s="727"/>
      <c r="L813" s="722"/>
      <c r="M813" s="728"/>
      <c r="T813" s="729"/>
      <c r="AT813" s="724" t="s">
        <v>868</v>
      </c>
      <c r="AU813" s="724" t="s">
        <v>101</v>
      </c>
      <c r="AV813" s="723" t="s">
        <v>101</v>
      </c>
      <c r="AW813" s="723" t="s">
        <v>699</v>
      </c>
      <c r="AX813" s="723" t="s">
        <v>99</v>
      </c>
      <c r="AY813" s="724" t="s">
        <v>863</v>
      </c>
    </row>
    <row r="814" spans="2:65" s="163" customFormat="1" ht="22.2" customHeight="1" x14ac:dyDescent="0.25">
      <c r="B814" s="702"/>
      <c r="C814" s="738" t="s">
        <v>1509</v>
      </c>
      <c r="D814" s="738" t="s">
        <v>298</v>
      </c>
      <c r="E814" s="739" t="s">
        <v>1510</v>
      </c>
      <c r="F814" s="740" t="s">
        <v>2537</v>
      </c>
      <c r="G814" s="741" t="s">
        <v>920</v>
      </c>
      <c r="H814" s="742">
        <v>0</v>
      </c>
      <c r="I814" s="743"/>
      <c r="J814" s="743">
        <f>ROUND(I814*H814,2)</f>
        <v>0</v>
      </c>
      <c r="K814" s="740" t="s">
        <v>931</v>
      </c>
      <c r="L814" s="744"/>
      <c r="M814" s="745" t="s">
        <v>725</v>
      </c>
      <c r="N814" s="746" t="s">
        <v>813</v>
      </c>
      <c r="O814" s="711">
        <v>0</v>
      </c>
      <c r="P814" s="711">
        <f>O814*H814</f>
        <v>0</v>
      </c>
      <c r="Q814" s="711">
        <v>3.2300000000000002E-2</v>
      </c>
      <c r="R814" s="711">
        <f>Q814*H814</f>
        <v>0</v>
      </c>
      <c r="S814" s="711">
        <v>0</v>
      </c>
      <c r="T814" s="712">
        <f>S814*H814</f>
        <v>0</v>
      </c>
      <c r="AR814" s="668" t="s">
        <v>111</v>
      </c>
      <c r="AT814" s="668" t="s">
        <v>298</v>
      </c>
      <c r="AU814" s="668" t="s">
        <v>101</v>
      </c>
      <c r="AY814" s="157" t="s">
        <v>863</v>
      </c>
      <c r="BE814" s="713">
        <f>IF(N814="základní",J814,0)</f>
        <v>0</v>
      </c>
      <c r="BF814" s="713">
        <f>IF(N814="snížená",J814,0)</f>
        <v>0</v>
      </c>
      <c r="BG814" s="713">
        <f>IF(N814="zákl. přenesená",J814,0)</f>
        <v>0</v>
      </c>
      <c r="BH814" s="713">
        <f>IF(N814="sníž. přenesená",J814,0)</f>
        <v>0</v>
      </c>
      <c r="BI814" s="713">
        <f>IF(N814="nulová",J814,0)</f>
        <v>0</v>
      </c>
      <c r="BJ814" s="157" t="s">
        <v>99</v>
      </c>
      <c r="BK814" s="713">
        <f>ROUND(I814*H814,2)</f>
        <v>0</v>
      </c>
      <c r="BL814" s="157" t="s">
        <v>103</v>
      </c>
      <c r="BM814" s="668" t="s">
        <v>1511</v>
      </c>
    </row>
    <row r="815" spans="2:65" s="723" customFormat="1" ht="11.4" x14ac:dyDescent="0.25">
      <c r="B815" s="722"/>
      <c r="D815" s="716" t="s">
        <v>868</v>
      </c>
      <c r="F815" s="725" t="s">
        <v>933</v>
      </c>
      <c r="H815" s="726">
        <v>1.02</v>
      </c>
      <c r="K815" s="727"/>
      <c r="L815" s="722"/>
      <c r="M815" s="728"/>
      <c r="T815" s="729"/>
      <c r="AT815" s="724" t="s">
        <v>868</v>
      </c>
      <c r="AU815" s="724" t="s">
        <v>101</v>
      </c>
      <c r="AV815" s="723" t="s">
        <v>101</v>
      </c>
      <c r="AW815" s="723" t="s">
        <v>699</v>
      </c>
      <c r="AX815" s="723" t="s">
        <v>99</v>
      </c>
      <c r="AY815" s="724" t="s">
        <v>863</v>
      </c>
    </row>
    <row r="816" spans="2:65" s="163" customFormat="1" ht="21.6" customHeight="1" x14ac:dyDescent="0.25">
      <c r="B816" s="702"/>
      <c r="C816" s="738" t="s">
        <v>1512</v>
      </c>
      <c r="D816" s="738" t="s">
        <v>298</v>
      </c>
      <c r="E816" s="739" t="s">
        <v>1513</v>
      </c>
      <c r="F816" s="740" t="s">
        <v>2538</v>
      </c>
      <c r="G816" s="741" t="s">
        <v>920</v>
      </c>
      <c r="H816" s="742">
        <v>0</v>
      </c>
      <c r="I816" s="743"/>
      <c r="J816" s="743">
        <f>ROUND(I816*H816,2)</f>
        <v>0</v>
      </c>
      <c r="K816" s="740" t="s">
        <v>931</v>
      </c>
      <c r="L816" s="744"/>
      <c r="M816" s="745" t="s">
        <v>725</v>
      </c>
      <c r="N816" s="746" t="s">
        <v>813</v>
      </c>
      <c r="O816" s="711">
        <v>0</v>
      </c>
      <c r="P816" s="711">
        <f>O816*H816</f>
        <v>0</v>
      </c>
      <c r="Q816" s="711">
        <v>7.0599999999999996E-2</v>
      </c>
      <c r="R816" s="711">
        <f>Q816*H816</f>
        <v>0</v>
      </c>
      <c r="S816" s="711">
        <v>0</v>
      </c>
      <c r="T816" s="712">
        <f>S816*H816</f>
        <v>0</v>
      </c>
      <c r="AR816" s="668" t="s">
        <v>111</v>
      </c>
      <c r="AT816" s="668" t="s">
        <v>298</v>
      </c>
      <c r="AU816" s="668" t="s">
        <v>101</v>
      </c>
      <c r="AY816" s="157" t="s">
        <v>863</v>
      </c>
      <c r="BE816" s="713">
        <f>IF(N816="základní",J816,0)</f>
        <v>0</v>
      </c>
      <c r="BF816" s="713">
        <f>IF(N816="snížená",J816,0)</f>
        <v>0</v>
      </c>
      <c r="BG816" s="713">
        <f>IF(N816="zákl. přenesená",J816,0)</f>
        <v>0</v>
      </c>
      <c r="BH816" s="713">
        <f>IF(N816="sníž. přenesená",J816,0)</f>
        <v>0</v>
      </c>
      <c r="BI816" s="713">
        <f>IF(N816="nulová",J816,0)</f>
        <v>0</v>
      </c>
      <c r="BJ816" s="157" t="s">
        <v>99</v>
      </c>
      <c r="BK816" s="713">
        <f>ROUND(I816*H816,2)</f>
        <v>0</v>
      </c>
      <c r="BL816" s="157" t="s">
        <v>103</v>
      </c>
      <c r="BM816" s="668" t="s">
        <v>1514</v>
      </c>
    </row>
    <row r="817" spans="2:65" s="723" customFormat="1" ht="11.4" x14ac:dyDescent="0.25">
      <c r="B817" s="722"/>
      <c r="D817" s="716" t="s">
        <v>868</v>
      </c>
      <c r="F817" s="725" t="s">
        <v>933</v>
      </c>
      <c r="H817" s="726">
        <v>1.02</v>
      </c>
      <c r="K817" s="727"/>
      <c r="L817" s="722"/>
      <c r="M817" s="728"/>
      <c r="T817" s="729"/>
      <c r="AT817" s="724" t="s">
        <v>868</v>
      </c>
      <c r="AU817" s="724" t="s">
        <v>101</v>
      </c>
      <c r="AV817" s="723" t="s">
        <v>101</v>
      </c>
      <c r="AW817" s="723" t="s">
        <v>699</v>
      </c>
      <c r="AX817" s="723" t="s">
        <v>99</v>
      </c>
      <c r="AY817" s="724" t="s">
        <v>863</v>
      </c>
    </row>
    <row r="818" spans="2:65" s="163" customFormat="1" ht="14.4" customHeight="1" x14ac:dyDescent="0.25">
      <c r="B818" s="702"/>
      <c r="C818" s="738" t="s">
        <v>1515</v>
      </c>
      <c r="D818" s="738" t="s">
        <v>298</v>
      </c>
      <c r="E818" s="739" t="s">
        <v>1516</v>
      </c>
      <c r="F818" s="740" t="s">
        <v>2539</v>
      </c>
      <c r="G818" s="741" t="s">
        <v>920</v>
      </c>
      <c r="H818" s="742">
        <v>0</v>
      </c>
      <c r="I818" s="743"/>
      <c r="J818" s="743">
        <f>ROUND(I818*H818,2)</f>
        <v>0</v>
      </c>
      <c r="K818" s="740" t="s">
        <v>931</v>
      </c>
      <c r="L818" s="744"/>
      <c r="M818" s="745" t="s">
        <v>725</v>
      </c>
      <c r="N818" s="746" t="s">
        <v>813</v>
      </c>
      <c r="O818" s="711">
        <v>0</v>
      </c>
      <c r="P818" s="711">
        <f>O818*H818</f>
        <v>0</v>
      </c>
      <c r="Q818" s="711">
        <v>8.0000000000000004E-4</v>
      </c>
      <c r="R818" s="711">
        <f>Q818*H818</f>
        <v>0</v>
      </c>
      <c r="S818" s="711">
        <v>0</v>
      </c>
      <c r="T818" s="712">
        <f>S818*H818</f>
        <v>0</v>
      </c>
      <c r="AR818" s="668" t="s">
        <v>111</v>
      </c>
      <c r="AT818" s="668" t="s">
        <v>298</v>
      </c>
      <c r="AU818" s="668" t="s">
        <v>101</v>
      </c>
      <c r="AY818" s="157" t="s">
        <v>863</v>
      </c>
      <c r="BE818" s="713">
        <f>IF(N818="základní",J818,0)</f>
        <v>0</v>
      </c>
      <c r="BF818" s="713">
        <f>IF(N818="snížená",J818,0)</f>
        <v>0</v>
      </c>
      <c r="BG818" s="713">
        <f>IF(N818="zákl. přenesená",J818,0)</f>
        <v>0</v>
      </c>
      <c r="BH818" s="713">
        <f>IF(N818="sníž. přenesená",J818,0)</f>
        <v>0</v>
      </c>
      <c r="BI818" s="713">
        <f>IF(N818="nulová",J818,0)</f>
        <v>0</v>
      </c>
      <c r="BJ818" s="157" t="s">
        <v>99</v>
      </c>
      <c r="BK818" s="713">
        <f>ROUND(I818*H818,2)</f>
        <v>0</v>
      </c>
      <c r="BL818" s="157" t="s">
        <v>103</v>
      </c>
      <c r="BM818" s="668" t="s">
        <v>1517</v>
      </c>
    </row>
    <row r="819" spans="2:65" s="723" customFormat="1" ht="11.4" x14ac:dyDescent="0.25">
      <c r="B819" s="722"/>
      <c r="D819" s="716" t="s">
        <v>868</v>
      </c>
      <c r="F819" s="725" t="s">
        <v>933</v>
      </c>
      <c r="H819" s="726">
        <v>1.02</v>
      </c>
      <c r="K819" s="727"/>
      <c r="L819" s="722"/>
      <c r="M819" s="728"/>
      <c r="T819" s="729"/>
      <c r="AT819" s="724" t="s">
        <v>868</v>
      </c>
      <c r="AU819" s="724" t="s">
        <v>101</v>
      </c>
      <c r="AV819" s="723" t="s">
        <v>101</v>
      </c>
      <c r="AW819" s="723" t="s">
        <v>699</v>
      </c>
      <c r="AX819" s="723" t="s">
        <v>99</v>
      </c>
      <c r="AY819" s="724" t="s">
        <v>863</v>
      </c>
    </row>
    <row r="820" spans="2:65" s="163" customFormat="1" ht="30" customHeight="1" x14ac:dyDescent="0.25">
      <c r="B820" s="702"/>
      <c r="C820" s="703" t="s">
        <v>1518</v>
      </c>
      <c r="D820" s="703" t="s">
        <v>864</v>
      </c>
      <c r="E820" s="704" t="s">
        <v>1519</v>
      </c>
      <c r="F820" s="705" t="s">
        <v>1520</v>
      </c>
      <c r="G820" s="706" t="s">
        <v>15</v>
      </c>
      <c r="H820" s="707">
        <v>3114.4549999999999</v>
      </c>
      <c r="I820" s="708"/>
      <c r="J820" s="708">
        <f>ROUND(I820*H820,2)</f>
        <v>0</v>
      </c>
      <c r="K820" s="705" t="s">
        <v>2622</v>
      </c>
      <c r="L820" s="164"/>
      <c r="M820" s="709" t="s">
        <v>725</v>
      </c>
      <c r="N820" s="710" t="s">
        <v>813</v>
      </c>
      <c r="O820" s="711">
        <v>1.2999999999999999E-2</v>
      </c>
      <c r="P820" s="711">
        <f>O820*H820</f>
        <v>40.487914999999994</v>
      </c>
      <c r="Q820" s="711">
        <v>0</v>
      </c>
      <c r="R820" s="711">
        <f>Q820*H820</f>
        <v>0</v>
      </c>
      <c r="S820" s="711">
        <v>0.01</v>
      </c>
      <c r="T820" s="712">
        <f>S820*H820</f>
        <v>31.144549999999999</v>
      </c>
      <c r="AR820" s="668" t="s">
        <v>103</v>
      </c>
      <c r="AT820" s="668" t="s">
        <v>864</v>
      </c>
      <c r="AU820" s="668" t="s">
        <v>101</v>
      </c>
      <c r="AY820" s="157" t="s">
        <v>863</v>
      </c>
      <c r="BE820" s="713">
        <f>IF(N820="základní",J820,0)</f>
        <v>0</v>
      </c>
      <c r="BF820" s="713">
        <f>IF(N820="snížená",J820,0)</f>
        <v>0</v>
      </c>
      <c r="BG820" s="713">
        <f>IF(N820="zákl. přenesená",J820,0)</f>
        <v>0</v>
      </c>
      <c r="BH820" s="713">
        <f>IF(N820="sníž. přenesená",J820,0)</f>
        <v>0</v>
      </c>
      <c r="BI820" s="713">
        <f>IF(N820="nulová",J820,0)</f>
        <v>0</v>
      </c>
      <c r="BJ820" s="157" t="s">
        <v>99</v>
      </c>
      <c r="BK820" s="713">
        <f>ROUND(I820*H820,2)</f>
        <v>0</v>
      </c>
      <c r="BL820" s="157" t="s">
        <v>103</v>
      </c>
      <c r="BM820" s="668" t="s">
        <v>1521</v>
      </c>
    </row>
    <row r="821" spans="2:65" s="715" customFormat="1" ht="11.4" x14ac:dyDescent="0.25">
      <c r="B821" s="714"/>
      <c r="D821" s="716" t="s">
        <v>868</v>
      </c>
      <c r="E821" s="717" t="s">
        <v>725</v>
      </c>
      <c r="F821" s="718" t="s">
        <v>886</v>
      </c>
      <c r="H821" s="717" t="s">
        <v>725</v>
      </c>
      <c r="K821" s="719"/>
      <c r="L821" s="714"/>
      <c r="M821" s="720"/>
      <c r="T821" s="721"/>
      <c r="AT821" s="717" t="s">
        <v>868</v>
      </c>
      <c r="AU821" s="717" t="s">
        <v>101</v>
      </c>
      <c r="AV821" s="715" t="s">
        <v>99</v>
      </c>
      <c r="AW821" s="715" t="s">
        <v>870</v>
      </c>
      <c r="AX821" s="715" t="s">
        <v>301</v>
      </c>
      <c r="AY821" s="717" t="s">
        <v>863</v>
      </c>
    </row>
    <row r="822" spans="2:65" s="723" customFormat="1" ht="11.4" x14ac:dyDescent="0.25">
      <c r="B822" s="722"/>
      <c r="D822" s="716" t="s">
        <v>868</v>
      </c>
      <c r="E822" s="724" t="s">
        <v>725</v>
      </c>
      <c r="F822" s="725" t="s">
        <v>1522</v>
      </c>
      <c r="H822" s="726">
        <v>118.62</v>
      </c>
      <c r="K822" s="727"/>
      <c r="L822" s="722"/>
      <c r="M822" s="728"/>
      <c r="T822" s="729"/>
      <c r="AT822" s="724" t="s">
        <v>868</v>
      </c>
      <c r="AU822" s="724" t="s">
        <v>101</v>
      </c>
      <c r="AV822" s="723" t="s">
        <v>101</v>
      </c>
      <c r="AW822" s="723" t="s">
        <v>870</v>
      </c>
      <c r="AX822" s="723" t="s">
        <v>301</v>
      </c>
      <c r="AY822" s="724" t="s">
        <v>863</v>
      </c>
    </row>
    <row r="823" spans="2:65" s="723" customFormat="1" ht="11.4" x14ac:dyDescent="0.25">
      <c r="B823" s="722"/>
      <c r="D823" s="716" t="s">
        <v>868</v>
      </c>
      <c r="E823" s="724" t="s">
        <v>725</v>
      </c>
      <c r="F823" s="725" t="s">
        <v>1523</v>
      </c>
      <c r="H823" s="726">
        <v>381.55</v>
      </c>
      <c r="K823" s="727"/>
      <c r="L823" s="722"/>
      <c r="M823" s="728"/>
      <c r="T823" s="729"/>
      <c r="AT823" s="724" t="s">
        <v>868</v>
      </c>
      <c r="AU823" s="724" t="s">
        <v>101</v>
      </c>
      <c r="AV823" s="723" t="s">
        <v>101</v>
      </c>
      <c r="AW823" s="723" t="s">
        <v>870</v>
      </c>
      <c r="AX823" s="723" t="s">
        <v>301</v>
      </c>
      <c r="AY823" s="724" t="s">
        <v>863</v>
      </c>
    </row>
    <row r="824" spans="2:65" s="723" customFormat="1" ht="11.4" x14ac:dyDescent="0.25">
      <c r="B824" s="722"/>
      <c r="D824" s="716" t="s">
        <v>868</v>
      </c>
      <c r="E824" s="724" t="s">
        <v>725</v>
      </c>
      <c r="F824" s="725" t="s">
        <v>1524</v>
      </c>
      <c r="H824" s="726">
        <v>88.37</v>
      </c>
      <c r="K824" s="727"/>
      <c r="L824" s="722"/>
      <c r="M824" s="728"/>
      <c r="T824" s="729"/>
      <c r="AT824" s="724" t="s">
        <v>868</v>
      </c>
      <c r="AU824" s="724" t="s">
        <v>101</v>
      </c>
      <c r="AV824" s="723" t="s">
        <v>101</v>
      </c>
      <c r="AW824" s="723" t="s">
        <v>870</v>
      </c>
      <c r="AX824" s="723" t="s">
        <v>301</v>
      </c>
      <c r="AY824" s="724" t="s">
        <v>863</v>
      </c>
    </row>
    <row r="825" spans="2:65" s="723" customFormat="1" ht="11.4" x14ac:dyDescent="0.25">
      <c r="B825" s="722"/>
      <c r="D825" s="716" t="s">
        <v>868</v>
      </c>
      <c r="E825" s="724" t="s">
        <v>725</v>
      </c>
      <c r="F825" s="725" t="s">
        <v>1525</v>
      </c>
      <c r="H825" s="726">
        <v>140.52500000000001</v>
      </c>
      <c r="K825" s="727"/>
      <c r="L825" s="722"/>
      <c r="M825" s="728"/>
      <c r="T825" s="729"/>
      <c r="AT825" s="724" t="s">
        <v>868</v>
      </c>
      <c r="AU825" s="724" t="s">
        <v>101</v>
      </c>
      <c r="AV825" s="723" t="s">
        <v>101</v>
      </c>
      <c r="AW825" s="723" t="s">
        <v>870</v>
      </c>
      <c r="AX825" s="723" t="s">
        <v>301</v>
      </c>
      <c r="AY825" s="724" t="s">
        <v>863</v>
      </c>
    </row>
    <row r="826" spans="2:65" s="723" customFormat="1" ht="11.4" x14ac:dyDescent="0.25">
      <c r="B826" s="722"/>
      <c r="D826" s="716" t="s">
        <v>868</v>
      </c>
      <c r="E826" s="724" t="s">
        <v>725</v>
      </c>
      <c r="F826" s="725" t="s">
        <v>1526</v>
      </c>
      <c r="H826" s="726">
        <v>1123.47</v>
      </c>
      <c r="K826" s="727"/>
      <c r="L826" s="722"/>
      <c r="M826" s="728"/>
      <c r="T826" s="729"/>
      <c r="AT826" s="724" t="s">
        <v>868</v>
      </c>
      <c r="AU826" s="724" t="s">
        <v>101</v>
      </c>
      <c r="AV826" s="723" t="s">
        <v>101</v>
      </c>
      <c r="AW826" s="723" t="s">
        <v>870</v>
      </c>
      <c r="AX826" s="723" t="s">
        <v>301</v>
      </c>
      <c r="AY826" s="724" t="s">
        <v>863</v>
      </c>
    </row>
    <row r="827" spans="2:65" s="723" customFormat="1" ht="11.4" x14ac:dyDescent="0.25">
      <c r="B827" s="722"/>
      <c r="D827" s="716" t="s">
        <v>868</v>
      </c>
      <c r="E827" s="724" t="s">
        <v>725</v>
      </c>
      <c r="F827" s="725" t="s">
        <v>1527</v>
      </c>
      <c r="H827" s="726">
        <v>456.11</v>
      </c>
      <c r="K827" s="727"/>
      <c r="L827" s="722"/>
      <c r="M827" s="728"/>
      <c r="T827" s="729"/>
      <c r="AT827" s="724" t="s">
        <v>868</v>
      </c>
      <c r="AU827" s="724" t="s">
        <v>101</v>
      </c>
      <c r="AV827" s="723" t="s">
        <v>101</v>
      </c>
      <c r="AW827" s="723" t="s">
        <v>870</v>
      </c>
      <c r="AX827" s="723" t="s">
        <v>301</v>
      </c>
      <c r="AY827" s="724" t="s">
        <v>863</v>
      </c>
    </row>
    <row r="828" spans="2:65" s="723" customFormat="1" ht="11.4" x14ac:dyDescent="0.25">
      <c r="B828" s="722"/>
      <c r="D828" s="716" t="s">
        <v>868</v>
      </c>
      <c r="E828" s="724" t="s">
        <v>725</v>
      </c>
      <c r="F828" s="725" t="s">
        <v>1528</v>
      </c>
      <c r="H828" s="726">
        <v>476.63</v>
      </c>
      <c r="K828" s="727"/>
      <c r="L828" s="722"/>
      <c r="M828" s="728"/>
      <c r="T828" s="729"/>
      <c r="AT828" s="724" t="s">
        <v>868</v>
      </c>
      <c r="AU828" s="724" t="s">
        <v>101</v>
      </c>
      <c r="AV828" s="723" t="s">
        <v>101</v>
      </c>
      <c r="AW828" s="723" t="s">
        <v>870</v>
      </c>
      <c r="AX828" s="723" t="s">
        <v>301</v>
      </c>
      <c r="AY828" s="724" t="s">
        <v>863</v>
      </c>
    </row>
    <row r="829" spans="2:65" s="723" customFormat="1" ht="11.4" x14ac:dyDescent="0.25">
      <c r="B829" s="722"/>
      <c r="D829" s="716" t="s">
        <v>868</v>
      </c>
      <c r="E829" s="724" t="s">
        <v>725</v>
      </c>
      <c r="F829" s="725" t="s">
        <v>1529</v>
      </c>
      <c r="H829" s="726">
        <v>60.7</v>
      </c>
      <c r="K829" s="727"/>
      <c r="L829" s="722"/>
      <c r="M829" s="728"/>
      <c r="T829" s="729"/>
      <c r="AT829" s="724" t="s">
        <v>868</v>
      </c>
      <c r="AU829" s="724" t="s">
        <v>101</v>
      </c>
      <c r="AV829" s="723" t="s">
        <v>101</v>
      </c>
      <c r="AW829" s="723" t="s">
        <v>870</v>
      </c>
      <c r="AX829" s="723" t="s">
        <v>301</v>
      </c>
      <c r="AY829" s="724" t="s">
        <v>863</v>
      </c>
    </row>
    <row r="830" spans="2:65" s="723" customFormat="1" ht="11.4" x14ac:dyDescent="0.25">
      <c r="B830" s="722"/>
      <c r="D830" s="716" t="s">
        <v>868</v>
      </c>
      <c r="E830" s="724" t="s">
        <v>725</v>
      </c>
      <c r="F830" s="725" t="s">
        <v>1530</v>
      </c>
      <c r="H830" s="726">
        <v>47.18</v>
      </c>
      <c r="K830" s="727"/>
      <c r="L830" s="722"/>
      <c r="M830" s="728"/>
      <c r="T830" s="729"/>
      <c r="AT830" s="724" t="s">
        <v>868</v>
      </c>
      <c r="AU830" s="724" t="s">
        <v>101</v>
      </c>
      <c r="AV830" s="723" t="s">
        <v>101</v>
      </c>
      <c r="AW830" s="723" t="s">
        <v>870</v>
      </c>
      <c r="AX830" s="723" t="s">
        <v>301</v>
      </c>
      <c r="AY830" s="724" t="s">
        <v>863</v>
      </c>
    </row>
    <row r="831" spans="2:65" s="723" customFormat="1" ht="11.4" x14ac:dyDescent="0.25">
      <c r="B831" s="722"/>
      <c r="D831" s="716" t="s">
        <v>868</v>
      </c>
      <c r="E831" s="724" t="s">
        <v>725</v>
      </c>
      <c r="F831" s="725" t="s">
        <v>1531</v>
      </c>
      <c r="H831" s="726">
        <v>152.27000000000001</v>
      </c>
      <c r="K831" s="727"/>
      <c r="L831" s="722"/>
      <c r="M831" s="728"/>
      <c r="T831" s="729"/>
      <c r="AT831" s="724" t="s">
        <v>868</v>
      </c>
      <c r="AU831" s="724" t="s">
        <v>101</v>
      </c>
      <c r="AV831" s="723" t="s">
        <v>101</v>
      </c>
      <c r="AW831" s="723" t="s">
        <v>870</v>
      </c>
      <c r="AX831" s="723" t="s">
        <v>301</v>
      </c>
      <c r="AY831" s="724" t="s">
        <v>863</v>
      </c>
    </row>
    <row r="832" spans="2:65" s="723" customFormat="1" ht="11.4" x14ac:dyDescent="0.25">
      <c r="B832" s="722"/>
      <c r="D832" s="716" t="s">
        <v>868</v>
      </c>
      <c r="E832" s="724" t="s">
        <v>725</v>
      </c>
      <c r="F832" s="725" t="s">
        <v>775</v>
      </c>
      <c r="H832" s="726">
        <v>39.49</v>
      </c>
      <c r="K832" s="727"/>
      <c r="L832" s="722"/>
      <c r="M832" s="728"/>
      <c r="T832" s="729"/>
      <c r="AT832" s="724" t="s">
        <v>868</v>
      </c>
      <c r="AU832" s="724" t="s">
        <v>101</v>
      </c>
      <c r="AV832" s="723" t="s">
        <v>101</v>
      </c>
      <c r="AW832" s="723" t="s">
        <v>870</v>
      </c>
      <c r="AX832" s="723" t="s">
        <v>301</v>
      </c>
      <c r="AY832" s="724" t="s">
        <v>863</v>
      </c>
    </row>
    <row r="833" spans="2:65" s="723" customFormat="1" ht="11.4" x14ac:dyDescent="0.25">
      <c r="B833" s="722"/>
      <c r="D833" s="716" t="s">
        <v>868</v>
      </c>
      <c r="E833" s="724" t="s">
        <v>725</v>
      </c>
      <c r="F833" s="725" t="s">
        <v>779</v>
      </c>
      <c r="H833" s="726">
        <v>21.36</v>
      </c>
      <c r="K833" s="727"/>
      <c r="L833" s="722"/>
      <c r="M833" s="728"/>
      <c r="T833" s="729"/>
      <c r="AT833" s="724" t="s">
        <v>868</v>
      </c>
      <c r="AU833" s="724" t="s">
        <v>101</v>
      </c>
      <c r="AV833" s="723" t="s">
        <v>101</v>
      </c>
      <c r="AW833" s="723" t="s">
        <v>870</v>
      </c>
      <c r="AX833" s="723" t="s">
        <v>301</v>
      </c>
      <c r="AY833" s="724" t="s">
        <v>863</v>
      </c>
    </row>
    <row r="834" spans="2:65" s="723" customFormat="1" ht="11.4" x14ac:dyDescent="0.25">
      <c r="B834" s="722"/>
      <c r="D834" s="716" t="s">
        <v>868</v>
      </c>
      <c r="E834" s="724" t="s">
        <v>725</v>
      </c>
      <c r="F834" s="725" t="s">
        <v>782</v>
      </c>
      <c r="H834" s="726">
        <v>8.18</v>
      </c>
      <c r="K834" s="727"/>
      <c r="L834" s="722"/>
      <c r="M834" s="728"/>
      <c r="T834" s="729"/>
      <c r="AT834" s="724" t="s">
        <v>868</v>
      </c>
      <c r="AU834" s="724" t="s">
        <v>101</v>
      </c>
      <c r="AV834" s="723" t="s">
        <v>101</v>
      </c>
      <c r="AW834" s="723" t="s">
        <v>870</v>
      </c>
      <c r="AX834" s="723" t="s">
        <v>301</v>
      </c>
      <c r="AY834" s="724" t="s">
        <v>863</v>
      </c>
    </row>
    <row r="835" spans="2:65" s="731" customFormat="1" ht="11.4" x14ac:dyDescent="0.25">
      <c r="B835" s="730"/>
      <c r="D835" s="716" t="s">
        <v>868</v>
      </c>
      <c r="E835" s="732" t="s">
        <v>725</v>
      </c>
      <c r="F835" s="733" t="s">
        <v>873</v>
      </c>
      <c r="H835" s="734">
        <v>3114.4549999999999</v>
      </c>
      <c r="K835" s="735"/>
      <c r="L835" s="730"/>
      <c r="M835" s="736"/>
      <c r="T835" s="737"/>
      <c r="AT835" s="732" t="s">
        <v>868</v>
      </c>
      <c r="AU835" s="732" t="s">
        <v>101</v>
      </c>
      <c r="AV835" s="731" t="s">
        <v>103</v>
      </c>
      <c r="AW835" s="731" t="s">
        <v>870</v>
      </c>
      <c r="AX835" s="731" t="s">
        <v>99</v>
      </c>
      <c r="AY835" s="732" t="s">
        <v>863</v>
      </c>
    </row>
    <row r="836" spans="2:65" s="163" customFormat="1" ht="38.4" customHeight="1" x14ac:dyDescent="0.25">
      <c r="B836" s="702"/>
      <c r="C836" s="703" t="s">
        <v>1532</v>
      </c>
      <c r="D836" s="703" t="s">
        <v>864</v>
      </c>
      <c r="E836" s="704" t="s">
        <v>1533</v>
      </c>
      <c r="F836" s="705" t="s">
        <v>1534</v>
      </c>
      <c r="G836" s="706" t="s">
        <v>920</v>
      </c>
      <c r="H836" s="707">
        <v>12</v>
      </c>
      <c r="I836" s="708"/>
      <c r="J836" s="708">
        <f>ROUND(I836*H836,2)</f>
        <v>0</v>
      </c>
      <c r="K836" s="705" t="s">
        <v>2622</v>
      </c>
      <c r="L836" s="164"/>
      <c r="M836" s="709" t="s">
        <v>725</v>
      </c>
      <c r="N836" s="710" t="s">
        <v>813</v>
      </c>
      <c r="O836" s="711">
        <v>0.55700000000000005</v>
      </c>
      <c r="P836" s="711">
        <f>O836*H836</f>
        <v>6.6840000000000011</v>
      </c>
      <c r="Q836" s="711">
        <v>0</v>
      </c>
      <c r="R836" s="711">
        <f>Q836*H836</f>
        <v>0</v>
      </c>
      <c r="S836" s="711">
        <v>8.2000000000000003E-2</v>
      </c>
      <c r="T836" s="712">
        <f>S836*H836</f>
        <v>0.98399999999999999</v>
      </c>
      <c r="AR836" s="668" t="s">
        <v>103</v>
      </c>
      <c r="AT836" s="668" t="s">
        <v>864</v>
      </c>
      <c r="AU836" s="668" t="s">
        <v>101</v>
      </c>
      <c r="AY836" s="157" t="s">
        <v>863</v>
      </c>
      <c r="BE836" s="713">
        <f>IF(N836="základní",J836,0)</f>
        <v>0</v>
      </c>
      <c r="BF836" s="713">
        <f>IF(N836="snížená",J836,0)</f>
        <v>0</v>
      </c>
      <c r="BG836" s="713">
        <f>IF(N836="zákl. přenesená",J836,0)</f>
        <v>0</v>
      </c>
      <c r="BH836" s="713">
        <f>IF(N836="sníž. přenesená",J836,0)</f>
        <v>0</v>
      </c>
      <c r="BI836" s="713">
        <f>IF(N836="nulová",J836,0)</f>
        <v>0</v>
      </c>
      <c r="BJ836" s="157" t="s">
        <v>99</v>
      </c>
      <c r="BK836" s="713">
        <f>ROUND(I836*H836,2)</f>
        <v>0</v>
      </c>
      <c r="BL836" s="157" t="s">
        <v>103</v>
      </c>
      <c r="BM836" s="668" t="s">
        <v>1535</v>
      </c>
    </row>
    <row r="837" spans="2:65" s="715" customFormat="1" ht="11.4" x14ac:dyDescent="0.25">
      <c r="B837" s="714"/>
      <c r="D837" s="716" t="s">
        <v>868</v>
      </c>
      <c r="E837" s="717" t="s">
        <v>725</v>
      </c>
      <c r="F837" s="718" t="s">
        <v>1241</v>
      </c>
      <c r="H837" s="717" t="s">
        <v>725</v>
      </c>
      <c r="K837" s="719"/>
      <c r="L837" s="714"/>
      <c r="M837" s="720"/>
      <c r="T837" s="721"/>
      <c r="AT837" s="717" t="s">
        <v>868</v>
      </c>
      <c r="AU837" s="717" t="s">
        <v>101</v>
      </c>
      <c r="AV837" s="715" t="s">
        <v>99</v>
      </c>
      <c r="AW837" s="715" t="s">
        <v>870</v>
      </c>
      <c r="AX837" s="715" t="s">
        <v>301</v>
      </c>
      <c r="AY837" s="717" t="s">
        <v>863</v>
      </c>
    </row>
    <row r="838" spans="2:65" s="723" customFormat="1" ht="11.4" x14ac:dyDescent="0.25">
      <c r="B838" s="722"/>
      <c r="D838" s="716" t="s">
        <v>868</v>
      </c>
      <c r="E838" s="724" t="s">
        <v>725</v>
      </c>
      <c r="F838" s="725" t="s">
        <v>1296</v>
      </c>
      <c r="H838" s="726">
        <v>5</v>
      </c>
      <c r="K838" s="727"/>
      <c r="L838" s="722"/>
      <c r="M838" s="728"/>
      <c r="T838" s="729"/>
      <c r="AT838" s="724" t="s">
        <v>868</v>
      </c>
      <c r="AU838" s="724" t="s">
        <v>101</v>
      </c>
      <c r="AV838" s="723" t="s">
        <v>101</v>
      </c>
      <c r="AW838" s="723" t="s">
        <v>870</v>
      </c>
      <c r="AX838" s="723" t="s">
        <v>301</v>
      </c>
      <c r="AY838" s="724" t="s">
        <v>863</v>
      </c>
    </row>
    <row r="839" spans="2:65" s="723" customFormat="1" ht="11.4" x14ac:dyDescent="0.25">
      <c r="B839" s="722"/>
      <c r="D839" s="716" t="s">
        <v>868</v>
      </c>
      <c r="E839" s="724" t="s">
        <v>725</v>
      </c>
      <c r="F839" s="725" t="s">
        <v>1536</v>
      </c>
      <c r="H839" s="726">
        <v>7</v>
      </c>
      <c r="K839" s="727"/>
      <c r="L839" s="722"/>
      <c r="M839" s="728"/>
      <c r="T839" s="729"/>
      <c r="AT839" s="724" t="s">
        <v>868</v>
      </c>
      <c r="AU839" s="724" t="s">
        <v>101</v>
      </c>
      <c r="AV839" s="723" t="s">
        <v>101</v>
      </c>
      <c r="AW839" s="723" t="s">
        <v>870</v>
      </c>
      <c r="AX839" s="723" t="s">
        <v>301</v>
      </c>
      <c r="AY839" s="724" t="s">
        <v>863</v>
      </c>
    </row>
    <row r="840" spans="2:65" s="731" customFormat="1" ht="11.4" x14ac:dyDescent="0.25">
      <c r="B840" s="730"/>
      <c r="D840" s="716" t="s">
        <v>868</v>
      </c>
      <c r="E840" s="732" t="s">
        <v>725</v>
      </c>
      <c r="F840" s="733" t="s">
        <v>873</v>
      </c>
      <c r="H840" s="734">
        <v>12</v>
      </c>
      <c r="K840" s="735"/>
      <c r="L840" s="730"/>
      <c r="M840" s="736"/>
      <c r="T840" s="737"/>
      <c r="AT840" s="732" t="s">
        <v>868</v>
      </c>
      <c r="AU840" s="732" t="s">
        <v>101</v>
      </c>
      <c r="AV840" s="731" t="s">
        <v>103</v>
      </c>
      <c r="AW840" s="731" t="s">
        <v>870</v>
      </c>
      <c r="AX840" s="731" t="s">
        <v>99</v>
      </c>
      <c r="AY840" s="732" t="s">
        <v>863</v>
      </c>
    </row>
    <row r="841" spans="2:65" s="163" customFormat="1" ht="37.950000000000003" customHeight="1" x14ac:dyDescent="0.25">
      <c r="B841" s="702"/>
      <c r="C841" s="703" t="s">
        <v>1537</v>
      </c>
      <c r="D841" s="703" t="s">
        <v>864</v>
      </c>
      <c r="E841" s="704" t="s">
        <v>1538</v>
      </c>
      <c r="F841" s="705" t="s">
        <v>1539</v>
      </c>
      <c r="G841" s="706" t="s">
        <v>920</v>
      </c>
      <c r="H841" s="707">
        <v>26</v>
      </c>
      <c r="I841" s="708"/>
      <c r="J841" s="708">
        <f>ROUND(I841*H841,2)</f>
        <v>0</v>
      </c>
      <c r="K841" s="705" t="s">
        <v>2622</v>
      </c>
      <c r="L841" s="164"/>
      <c r="M841" s="709" t="s">
        <v>725</v>
      </c>
      <c r="N841" s="710" t="s">
        <v>813</v>
      </c>
      <c r="O841" s="711">
        <v>0.17399999999999999</v>
      </c>
      <c r="P841" s="711">
        <f>O841*H841</f>
        <v>4.524</v>
      </c>
      <c r="Q841" s="711">
        <v>0</v>
      </c>
      <c r="R841" s="711">
        <f>Q841*H841</f>
        <v>0</v>
      </c>
      <c r="S841" s="711">
        <v>4.0000000000000001E-3</v>
      </c>
      <c r="T841" s="712">
        <f>S841*H841</f>
        <v>0.10400000000000001</v>
      </c>
      <c r="AR841" s="668" t="s">
        <v>103</v>
      </c>
      <c r="AT841" s="668" t="s">
        <v>864</v>
      </c>
      <c r="AU841" s="668" t="s">
        <v>101</v>
      </c>
      <c r="AY841" s="157" t="s">
        <v>863</v>
      </c>
      <c r="BE841" s="713">
        <f>IF(N841="základní",J841,0)</f>
        <v>0</v>
      </c>
      <c r="BF841" s="713">
        <f>IF(N841="snížená",J841,0)</f>
        <v>0</v>
      </c>
      <c r="BG841" s="713">
        <f>IF(N841="zákl. přenesená",J841,0)</f>
        <v>0</v>
      </c>
      <c r="BH841" s="713">
        <f>IF(N841="sníž. přenesená",J841,0)</f>
        <v>0</v>
      </c>
      <c r="BI841" s="713">
        <f>IF(N841="nulová",J841,0)</f>
        <v>0</v>
      </c>
      <c r="BJ841" s="157" t="s">
        <v>99</v>
      </c>
      <c r="BK841" s="713">
        <f>ROUND(I841*H841,2)</f>
        <v>0</v>
      </c>
      <c r="BL841" s="157" t="s">
        <v>103</v>
      </c>
      <c r="BM841" s="668" t="s">
        <v>1540</v>
      </c>
    </row>
    <row r="842" spans="2:65" s="715" customFormat="1" ht="11.4" x14ac:dyDescent="0.25">
      <c r="B842" s="714"/>
      <c r="D842" s="716" t="s">
        <v>868</v>
      </c>
      <c r="E842" s="717" t="s">
        <v>725</v>
      </c>
      <c r="F842" s="718" t="s">
        <v>1241</v>
      </c>
      <c r="H842" s="717" t="s">
        <v>725</v>
      </c>
      <c r="K842" s="719"/>
      <c r="L842" s="714"/>
      <c r="M842" s="720"/>
      <c r="T842" s="721"/>
      <c r="AT842" s="717" t="s">
        <v>868</v>
      </c>
      <c r="AU842" s="717" t="s">
        <v>101</v>
      </c>
      <c r="AV842" s="715" t="s">
        <v>99</v>
      </c>
      <c r="AW842" s="715" t="s">
        <v>870</v>
      </c>
      <c r="AX842" s="715" t="s">
        <v>301</v>
      </c>
      <c r="AY842" s="717" t="s">
        <v>863</v>
      </c>
    </row>
    <row r="843" spans="2:65" s="723" customFormat="1" ht="11.4" x14ac:dyDescent="0.25">
      <c r="B843" s="722"/>
      <c r="D843" s="716" t="s">
        <v>868</v>
      </c>
      <c r="E843" s="724" t="s">
        <v>725</v>
      </c>
      <c r="F843" s="725" t="s">
        <v>1541</v>
      </c>
      <c r="H843" s="726">
        <v>11</v>
      </c>
      <c r="K843" s="727"/>
      <c r="L843" s="722"/>
      <c r="M843" s="728"/>
      <c r="T843" s="729"/>
      <c r="AT843" s="724" t="s">
        <v>868</v>
      </c>
      <c r="AU843" s="724" t="s">
        <v>101</v>
      </c>
      <c r="AV843" s="723" t="s">
        <v>101</v>
      </c>
      <c r="AW843" s="723" t="s">
        <v>870</v>
      </c>
      <c r="AX843" s="723" t="s">
        <v>301</v>
      </c>
      <c r="AY843" s="724" t="s">
        <v>863</v>
      </c>
    </row>
    <row r="844" spans="2:65" s="723" customFormat="1" ht="11.4" x14ac:dyDescent="0.25">
      <c r="B844" s="722"/>
      <c r="D844" s="716" t="s">
        <v>868</v>
      </c>
      <c r="E844" s="724" t="s">
        <v>725</v>
      </c>
      <c r="F844" s="725" t="s">
        <v>1542</v>
      </c>
      <c r="H844" s="726">
        <v>15</v>
      </c>
      <c r="K844" s="727"/>
      <c r="L844" s="722"/>
      <c r="M844" s="728"/>
      <c r="T844" s="729"/>
      <c r="AT844" s="724" t="s">
        <v>868</v>
      </c>
      <c r="AU844" s="724" t="s">
        <v>101</v>
      </c>
      <c r="AV844" s="723" t="s">
        <v>101</v>
      </c>
      <c r="AW844" s="723" t="s">
        <v>870</v>
      </c>
      <c r="AX844" s="723" t="s">
        <v>301</v>
      </c>
      <c r="AY844" s="724" t="s">
        <v>863</v>
      </c>
    </row>
    <row r="845" spans="2:65" s="731" customFormat="1" ht="11.4" x14ac:dyDescent="0.25">
      <c r="B845" s="730"/>
      <c r="D845" s="716" t="s">
        <v>868</v>
      </c>
      <c r="E845" s="732" t="s">
        <v>725</v>
      </c>
      <c r="F845" s="733" t="s">
        <v>873</v>
      </c>
      <c r="H845" s="734">
        <v>26</v>
      </c>
      <c r="K845" s="735"/>
      <c r="L845" s="730"/>
      <c r="M845" s="736"/>
      <c r="T845" s="737"/>
      <c r="AT845" s="732" t="s">
        <v>868</v>
      </c>
      <c r="AU845" s="732" t="s">
        <v>101</v>
      </c>
      <c r="AV845" s="731" t="s">
        <v>103</v>
      </c>
      <c r="AW845" s="731" t="s">
        <v>870</v>
      </c>
      <c r="AX845" s="731" t="s">
        <v>99</v>
      </c>
      <c r="AY845" s="732" t="s">
        <v>863</v>
      </c>
    </row>
    <row r="846" spans="2:65" s="163" customFormat="1" ht="37.950000000000003" customHeight="1" x14ac:dyDescent="0.25">
      <c r="B846" s="702"/>
      <c r="C846" s="703" t="s">
        <v>1543</v>
      </c>
      <c r="D846" s="703" t="s">
        <v>864</v>
      </c>
      <c r="E846" s="704" t="s">
        <v>1544</v>
      </c>
      <c r="F846" s="705" t="s">
        <v>1545</v>
      </c>
      <c r="G846" s="706" t="s">
        <v>140</v>
      </c>
      <c r="H846" s="707">
        <v>20.8</v>
      </c>
      <c r="I846" s="708"/>
      <c r="J846" s="708">
        <f>ROUND(I846*H846,2)</f>
        <v>0</v>
      </c>
      <c r="K846" s="705" t="s">
        <v>2622</v>
      </c>
      <c r="L846" s="164"/>
      <c r="M846" s="709" t="s">
        <v>725</v>
      </c>
      <c r="N846" s="710" t="s">
        <v>813</v>
      </c>
      <c r="O846" s="711">
        <v>0.18</v>
      </c>
      <c r="P846" s="711">
        <f>O846*H846</f>
        <v>3.7439999999999998</v>
      </c>
      <c r="Q846" s="711">
        <v>0</v>
      </c>
      <c r="R846" s="711">
        <f>Q846*H846</f>
        <v>0</v>
      </c>
      <c r="S846" s="711">
        <v>0.9</v>
      </c>
      <c r="T846" s="712">
        <f>S846*H846</f>
        <v>18.720000000000002</v>
      </c>
      <c r="AR846" s="668" t="s">
        <v>103</v>
      </c>
      <c r="AT846" s="668" t="s">
        <v>864</v>
      </c>
      <c r="AU846" s="668" t="s">
        <v>101</v>
      </c>
      <c r="AY846" s="157" t="s">
        <v>863</v>
      </c>
      <c r="BE846" s="713">
        <f>IF(N846="základní",J846,0)</f>
        <v>0</v>
      </c>
      <c r="BF846" s="713">
        <f>IF(N846="snížená",J846,0)</f>
        <v>0</v>
      </c>
      <c r="BG846" s="713">
        <f>IF(N846="zákl. přenesená",J846,0)</f>
        <v>0</v>
      </c>
      <c r="BH846" s="713">
        <f>IF(N846="sníž. přenesená",J846,0)</f>
        <v>0</v>
      </c>
      <c r="BI846" s="713">
        <f>IF(N846="nulová",J846,0)</f>
        <v>0</v>
      </c>
      <c r="BJ846" s="157" t="s">
        <v>99</v>
      </c>
      <c r="BK846" s="713">
        <f>ROUND(I846*H846,2)</f>
        <v>0</v>
      </c>
      <c r="BL846" s="157" t="s">
        <v>103</v>
      </c>
      <c r="BM846" s="668" t="s">
        <v>1546</v>
      </c>
    </row>
    <row r="847" spans="2:65" s="715" customFormat="1" ht="11.4" x14ac:dyDescent="0.25">
      <c r="B847" s="714"/>
      <c r="D847" s="716" t="s">
        <v>868</v>
      </c>
      <c r="E847" s="717" t="s">
        <v>725</v>
      </c>
      <c r="F847" s="718" t="s">
        <v>1502</v>
      </c>
      <c r="H847" s="717" t="s">
        <v>725</v>
      </c>
      <c r="K847" s="719"/>
      <c r="L847" s="714"/>
      <c r="M847" s="720"/>
      <c r="T847" s="721"/>
      <c r="AT847" s="717" t="s">
        <v>868</v>
      </c>
      <c r="AU847" s="717" t="s">
        <v>101</v>
      </c>
      <c r="AV847" s="715" t="s">
        <v>99</v>
      </c>
      <c r="AW847" s="715" t="s">
        <v>870</v>
      </c>
      <c r="AX847" s="715" t="s">
        <v>301</v>
      </c>
      <c r="AY847" s="717" t="s">
        <v>863</v>
      </c>
    </row>
    <row r="848" spans="2:65" s="715" customFormat="1" ht="11.4" x14ac:dyDescent="0.25">
      <c r="B848" s="714"/>
      <c r="D848" s="716" t="s">
        <v>868</v>
      </c>
      <c r="E848" s="717" t="s">
        <v>725</v>
      </c>
      <c r="F848" s="718" t="s">
        <v>886</v>
      </c>
      <c r="H848" s="717" t="s">
        <v>725</v>
      </c>
      <c r="K848" s="719"/>
      <c r="L848" s="714"/>
      <c r="M848" s="720"/>
      <c r="T848" s="721"/>
      <c r="AT848" s="717" t="s">
        <v>868</v>
      </c>
      <c r="AU848" s="717" t="s">
        <v>101</v>
      </c>
      <c r="AV848" s="715" t="s">
        <v>99</v>
      </c>
      <c r="AW848" s="715" t="s">
        <v>870</v>
      </c>
      <c r="AX848" s="715" t="s">
        <v>301</v>
      </c>
      <c r="AY848" s="717" t="s">
        <v>863</v>
      </c>
    </row>
    <row r="849" spans="2:65" s="723" customFormat="1" ht="11.4" x14ac:dyDescent="0.25">
      <c r="B849" s="722"/>
      <c r="D849" s="716" t="s">
        <v>868</v>
      </c>
      <c r="E849" s="724" t="s">
        <v>725</v>
      </c>
      <c r="F849" s="725" t="s">
        <v>1547</v>
      </c>
      <c r="H849" s="726">
        <v>20.8</v>
      </c>
      <c r="K849" s="727"/>
      <c r="L849" s="722"/>
      <c r="M849" s="728"/>
      <c r="T849" s="729"/>
      <c r="AT849" s="724" t="s">
        <v>868</v>
      </c>
      <c r="AU849" s="724" t="s">
        <v>101</v>
      </c>
      <c r="AV849" s="723" t="s">
        <v>101</v>
      </c>
      <c r="AW849" s="723" t="s">
        <v>870</v>
      </c>
      <c r="AX849" s="723" t="s">
        <v>301</v>
      </c>
      <c r="AY849" s="724" t="s">
        <v>863</v>
      </c>
    </row>
    <row r="850" spans="2:65" s="731" customFormat="1" ht="11.4" x14ac:dyDescent="0.25">
      <c r="B850" s="730"/>
      <c r="D850" s="716" t="s">
        <v>868</v>
      </c>
      <c r="E850" s="732" t="s">
        <v>725</v>
      </c>
      <c r="F850" s="733" t="s">
        <v>873</v>
      </c>
      <c r="H850" s="734">
        <v>20.8</v>
      </c>
      <c r="K850" s="735"/>
      <c r="L850" s="730"/>
      <c r="M850" s="736"/>
      <c r="T850" s="737"/>
      <c r="AT850" s="732" t="s">
        <v>868</v>
      </c>
      <c r="AU850" s="732" t="s">
        <v>101</v>
      </c>
      <c r="AV850" s="731" t="s">
        <v>103</v>
      </c>
      <c r="AW850" s="731" t="s">
        <v>870</v>
      </c>
      <c r="AX850" s="731" t="s">
        <v>99</v>
      </c>
      <c r="AY850" s="732" t="s">
        <v>863</v>
      </c>
    </row>
    <row r="851" spans="2:65" s="163" customFormat="1" ht="28.2" customHeight="1" x14ac:dyDescent="0.25">
      <c r="B851" s="702"/>
      <c r="C851" s="703" t="s">
        <v>1548</v>
      </c>
      <c r="D851" s="703" t="s">
        <v>864</v>
      </c>
      <c r="E851" s="704" t="s">
        <v>1549</v>
      </c>
      <c r="F851" s="705" t="s">
        <v>1550</v>
      </c>
      <c r="G851" s="706" t="s">
        <v>140</v>
      </c>
      <c r="H851" s="707">
        <v>0.6</v>
      </c>
      <c r="I851" s="708"/>
      <c r="J851" s="708">
        <f>ROUND(I851*H851,2)</f>
        <v>0</v>
      </c>
      <c r="K851" s="705" t="s">
        <v>2622</v>
      </c>
      <c r="L851" s="164"/>
      <c r="M851" s="709" t="s">
        <v>725</v>
      </c>
      <c r="N851" s="710" t="s">
        <v>813</v>
      </c>
      <c r="O851" s="711">
        <v>1.5</v>
      </c>
      <c r="P851" s="711">
        <f>O851*H851</f>
        <v>0.89999999999999991</v>
      </c>
      <c r="Q851" s="711">
        <v>6.7000000000000002E-4</v>
      </c>
      <c r="R851" s="711">
        <f>Q851*H851</f>
        <v>4.0200000000000001E-4</v>
      </c>
      <c r="S851" s="711">
        <v>3.1E-2</v>
      </c>
      <c r="T851" s="712">
        <f>S851*H851</f>
        <v>1.8599999999999998E-2</v>
      </c>
      <c r="AR851" s="668" t="s">
        <v>103</v>
      </c>
      <c r="AT851" s="668" t="s">
        <v>864</v>
      </c>
      <c r="AU851" s="668" t="s">
        <v>101</v>
      </c>
      <c r="AY851" s="157" t="s">
        <v>863</v>
      </c>
      <c r="BE851" s="713">
        <f>IF(N851="základní",J851,0)</f>
        <v>0</v>
      </c>
      <c r="BF851" s="713">
        <f>IF(N851="snížená",J851,0)</f>
        <v>0</v>
      </c>
      <c r="BG851" s="713">
        <f>IF(N851="zákl. přenesená",J851,0)</f>
        <v>0</v>
      </c>
      <c r="BH851" s="713">
        <f>IF(N851="sníž. přenesená",J851,0)</f>
        <v>0</v>
      </c>
      <c r="BI851" s="713">
        <f>IF(N851="nulová",J851,0)</f>
        <v>0</v>
      </c>
      <c r="BJ851" s="157" t="s">
        <v>99</v>
      </c>
      <c r="BK851" s="713">
        <f>ROUND(I851*H851,2)</f>
        <v>0</v>
      </c>
      <c r="BL851" s="157" t="s">
        <v>103</v>
      </c>
      <c r="BM851" s="668" t="s">
        <v>1551</v>
      </c>
    </row>
    <row r="852" spans="2:65" s="715" customFormat="1" ht="11.4" x14ac:dyDescent="0.25">
      <c r="B852" s="714"/>
      <c r="D852" s="716" t="s">
        <v>868</v>
      </c>
      <c r="E852" s="717" t="s">
        <v>725</v>
      </c>
      <c r="F852" s="718" t="s">
        <v>1395</v>
      </c>
      <c r="H852" s="717" t="s">
        <v>725</v>
      </c>
      <c r="K852" s="719"/>
      <c r="L852" s="714"/>
      <c r="M852" s="720"/>
      <c r="T852" s="721"/>
      <c r="AT852" s="717" t="s">
        <v>868</v>
      </c>
      <c r="AU852" s="717" t="s">
        <v>101</v>
      </c>
      <c r="AV852" s="715" t="s">
        <v>99</v>
      </c>
      <c r="AW852" s="715" t="s">
        <v>870</v>
      </c>
      <c r="AX852" s="715" t="s">
        <v>301</v>
      </c>
      <c r="AY852" s="717" t="s">
        <v>863</v>
      </c>
    </row>
    <row r="853" spans="2:65" s="723" customFormat="1" ht="11.4" x14ac:dyDescent="0.25">
      <c r="B853" s="722"/>
      <c r="D853" s="716" t="s">
        <v>868</v>
      </c>
      <c r="E853" s="724" t="s">
        <v>725</v>
      </c>
      <c r="F853" s="725" t="s">
        <v>1552</v>
      </c>
      <c r="H853" s="726">
        <v>0.6</v>
      </c>
      <c r="K853" s="727"/>
      <c r="L853" s="722"/>
      <c r="M853" s="728"/>
      <c r="T853" s="729"/>
      <c r="AT853" s="724" t="s">
        <v>868</v>
      </c>
      <c r="AU853" s="724" t="s">
        <v>101</v>
      </c>
      <c r="AV853" s="723" t="s">
        <v>101</v>
      </c>
      <c r="AW853" s="723" t="s">
        <v>870</v>
      </c>
      <c r="AX853" s="723" t="s">
        <v>301</v>
      </c>
      <c r="AY853" s="724" t="s">
        <v>863</v>
      </c>
    </row>
    <row r="854" spans="2:65" s="731" customFormat="1" ht="11.4" x14ac:dyDescent="0.25">
      <c r="B854" s="730"/>
      <c r="D854" s="716" t="s">
        <v>868</v>
      </c>
      <c r="E854" s="732" t="s">
        <v>725</v>
      </c>
      <c r="F854" s="733" t="s">
        <v>873</v>
      </c>
      <c r="H854" s="734">
        <v>0.6</v>
      </c>
      <c r="K854" s="735"/>
      <c r="L854" s="730"/>
      <c r="M854" s="736"/>
      <c r="T854" s="737"/>
      <c r="AT854" s="732" t="s">
        <v>868</v>
      </c>
      <c r="AU854" s="732" t="s">
        <v>101</v>
      </c>
      <c r="AV854" s="731" t="s">
        <v>103</v>
      </c>
      <c r="AW854" s="731" t="s">
        <v>870</v>
      </c>
      <c r="AX854" s="731" t="s">
        <v>99</v>
      </c>
      <c r="AY854" s="732" t="s">
        <v>863</v>
      </c>
    </row>
    <row r="855" spans="2:65" s="163" customFormat="1" ht="27.6" customHeight="1" x14ac:dyDescent="0.25">
      <c r="B855" s="702"/>
      <c r="C855" s="703" t="s">
        <v>1553</v>
      </c>
      <c r="D855" s="703" t="s">
        <v>864</v>
      </c>
      <c r="E855" s="704" t="s">
        <v>1554</v>
      </c>
      <c r="F855" s="705" t="s">
        <v>1555</v>
      </c>
      <c r="G855" s="706" t="s">
        <v>140</v>
      </c>
      <c r="H855" s="707">
        <v>0.1</v>
      </c>
      <c r="I855" s="708"/>
      <c r="J855" s="708">
        <f>ROUND(I855*H855,2)</f>
        <v>0</v>
      </c>
      <c r="K855" s="705" t="s">
        <v>2622</v>
      </c>
      <c r="L855" s="164"/>
      <c r="M855" s="709" t="s">
        <v>725</v>
      </c>
      <c r="N855" s="710" t="s">
        <v>813</v>
      </c>
      <c r="O855" s="711">
        <v>3.3</v>
      </c>
      <c r="P855" s="711">
        <f>O855*H855</f>
        <v>0.33</v>
      </c>
      <c r="Q855" s="711">
        <v>2.8400000000000001E-3</v>
      </c>
      <c r="R855" s="711">
        <f>Q855*H855</f>
        <v>2.8400000000000002E-4</v>
      </c>
      <c r="S855" s="711">
        <v>0.159</v>
      </c>
      <c r="T855" s="712">
        <f>S855*H855</f>
        <v>1.5900000000000001E-2</v>
      </c>
      <c r="AR855" s="668" t="s">
        <v>103</v>
      </c>
      <c r="AT855" s="668" t="s">
        <v>864</v>
      </c>
      <c r="AU855" s="668" t="s">
        <v>101</v>
      </c>
      <c r="AY855" s="157" t="s">
        <v>863</v>
      </c>
      <c r="BE855" s="713">
        <f>IF(N855="základní",J855,0)</f>
        <v>0</v>
      </c>
      <c r="BF855" s="713">
        <f>IF(N855="snížená",J855,0)</f>
        <v>0</v>
      </c>
      <c r="BG855" s="713">
        <f>IF(N855="zákl. přenesená",J855,0)</f>
        <v>0</v>
      </c>
      <c r="BH855" s="713">
        <f>IF(N855="sníž. přenesená",J855,0)</f>
        <v>0</v>
      </c>
      <c r="BI855" s="713">
        <f>IF(N855="nulová",J855,0)</f>
        <v>0</v>
      </c>
      <c r="BJ855" s="157" t="s">
        <v>99</v>
      </c>
      <c r="BK855" s="713">
        <f>ROUND(I855*H855,2)</f>
        <v>0</v>
      </c>
      <c r="BL855" s="157" t="s">
        <v>103</v>
      </c>
      <c r="BM855" s="668" t="s">
        <v>1556</v>
      </c>
    </row>
    <row r="856" spans="2:65" s="715" customFormat="1" ht="11.4" x14ac:dyDescent="0.25">
      <c r="B856" s="714"/>
      <c r="D856" s="716" t="s">
        <v>868</v>
      </c>
      <c r="E856" s="717" t="s">
        <v>725</v>
      </c>
      <c r="F856" s="718" t="s">
        <v>886</v>
      </c>
      <c r="H856" s="717" t="s">
        <v>725</v>
      </c>
      <c r="K856" s="719"/>
      <c r="L856" s="714"/>
      <c r="M856" s="720"/>
      <c r="T856" s="721"/>
      <c r="AT856" s="717" t="s">
        <v>868</v>
      </c>
      <c r="AU856" s="717" t="s">
        <v>101</v>
      </c>
      <c r="AV856" s="715" t="s">
        <v>99</v>
      </c>
      <c r="AW856" s="715" t="s">
        <v>870</v>
      </c>
      <c r="AX856" s="715" t="s">
        <v>301</v>
      </c>
      <c r="AY856" s="717" t="s">
        <v>863</v>
      </c>
    </row>
    <row r="857" spans="2:65" s="723" customFormat="1" ht="11.4" x14ac:dyDescent="0.25">
      <c r="B857" s="722"/>
      <c r="D857" s="716" t="s">
        <v>868</v>
      </c>
      <c r="E857" s="724" t="s">
        <v>725</v>
      </c>
      <c r="F857" s="725" t="s">
        <v>1557</v>
      </c>
      <c r="H857" s="726">
        <v>0.1</v>
      </c>
      <c r="K857" s="727"/>
      <c r="L857" s="722"/>
      <c r="M857" s="728"/>
      <c r="T857" s="729"/>
      <c r="AT857" s="724" t="s">
        <v>868</v>
      </c>
      <c r="AU857" s="724" t="s">
        <v>101</v>
      </c>
      <c r="AV857" s="723" t="s">
        <v>101</v>
      </c>
      <c r="AW857" s="723" t="s">
        <v>870</v>
      </c>
      <c r="AX857" s="723" t="s">
        <v>301</v>
      </c>
      <c r="AY857" s="724" t="s">
        <v>863</v>
      </c>
    </row>
    <row r="858" spans="2:65" s="731" customFormat="1" ht="11.4" x14ac:dyDescent="0.25">
      <c r="B858" s="730"/>
      <c r="D858" s="716" t="s">
        <v>868</v>
      </c>
      <c r="E858" s="732" t="s">
        <v>725</v>
      </c>
      <c r="F858" s="733" t="s">
        <v>873</v>
      </c>
      <c r="H858" s="734">
        <v>0.1</v>
      </c>
      <c r="K858" s="735"/>
      <c r="L858" s="730"/>
      <c r="M858" s="736"/>
      <c r="T858" s="737"/>
      <c r="AT858" s="732" t="s">
        <v>868</v>
      </c>
      <c r="AU858" s="732" t="s">
        <v>101</v>
      </c>
      <c r="AV858" s="731" t="s">
        <v>103</v>
      </c>
      <c r="AW858" s="731" t="s">
        <v>870</v>
      </c>
      <c r="AX858" s="731" t="s">
        <v>99</v>
      </c>
      <c r="AY858" s="732" t="s">
        <v>863</v>
      </c>
    </row>
    <row r="859" spans="2:65" s="163" customFormat="1" ht="14.4" customHeight="1" x14ac:dyDescent="0.25">
      <c r="B859" s="702"/>
      <c r="C859" s="703" t="s">
        <v>1558</v>
      </c>
      <c r="D859" s="703" t="s">
        <v>864</v>
      </c>
      <c r="E859" s="704" t="s">
        <v>1559</v>
      </c>
      <c r="F859" s="705" t="s">
        <v>1560</v>
      </c>
      <c r="G859" s="706" t="s">
        <v>140</v>
      </c>
      <c r="H859" s="707">
        <v>6</v>
      </c>
      <c r="I859" s="708"/>
      <c r="J859" s="708">
        <f>ROUND(I859*H859,2)</f>
        <v>0</v>
      </c>
      <c r="K859" s="705" t="s">
        <v>2622</v>
      </c>
      <c r="L859" s="164"/>
      <c r="M859" s="709" t="s">
        <v>725</v>
      </c>
      <c r="N859" s="710" t="s">
        <v>813</v>
      </c>
      <c r="O859" s="711">
        <v>2.85</v>
      </c>
      <c r="P859" s="711">
        <f>O859*H859</f>
        <v>17.100000000000001</v>
      </c>
      <c r="Q859" s="711">
        <v>9.0000000000000006E-5</v>
      </c>
      <c r="R859" s="711">
        <f>Q859*H859</f>
        <v>5.4000000000000001E-4</v>
      </c>
      <c r="S859" s="711">
        <v>0</v>
      </c>
      <c r="T859" s="712">
        <f>S859*H859</f>
        <v>0</v>
      </c>
      <c r="AR859" s="668" t="s">
        <v>103</v>
      </c>
      <c r="AT859" s="668" t="s">
        <v>864</v>
      </c>
      <c r="AU859" s="668" t="s">
        <v>101</v>
      </c>
      <c r="AY859" s="157" t="s">
        <v>863</v>
      </c>
      <c r="BE859" s="713">
        <f>IF(N859="základní",J859,0)</f>
        <v>0</v>
      </c>
      <c r="BF859" s="713">
        <f>IF(N859="snížená",J859,0)</f>
        <v>0</v>
      </c>
      <c r="BG859" s="713">
        <f>IF(N859="zákl. přenesená",J859,0)</f>
        <v>0</v>
      </c>
      <c r="BH859" s="713">
        <f>IF(N859="sníž. přenesená",J859,0)</f>
        <v>0</v>
      </c>
      <c r="BI859" s="713">
        <f>IF(N859="nulová",J859,0)</f>
        <v>0</v>
      </c>
      <c r="BJ859" s="157" t="s">
        <v>99</v>
      </c>
      <c r="BK859" s="713">
        <f>ROUND(I859*H859,2)</f>
        <v>0</v>
      </c>
      <c r="BL859" s="157" t="s">
        <v>103</v>
      </c>
      <c r="BM859" s="668" t="s">
        <v>1561</v>
      </c>
    </row>
    <row r="860" spans="2:65" s="715" customFormat="1" ht="11.4" x14ac:dyDescent="0.25">
      <c r="B860" s="714"/>
      <c r="D860" s="716" t="s">
        <v>868</v>
      </c>
      <c r="E860" s="717" t="s">
        <v>725</v>
      </c>
      <c r="F860" s="718" t="s">
        <v>1395</v>
      </c>
      <c r="H860" s="717" t="s">
        <v>725</v>
      </c>
      <c r="K860" s="719"/>
      <c r="L860" s="714"/>
      <c r="M860" s="720"/>
      <c r="T860" s="721"/>
      <c r="AT860" s="717" t="s">
        <v>868</v>
      </c>
      <c r="AU860" s="717" t="s">
        <v>101</v>
      </c>
      <c r="AV860" s="715" t="s">
        <v>99</v>
      </c>
      <c r="AW860" s="715" t="s">
        <v>870</v>
      </c>
      <c r="AX860" s="715" t="s">
        <v>301</v>
      </c>
      <c r="AY860" s="717" t="s">
        <v>863</v>
      </c>
    </row>
    <row r="861" spans="2:65" s="723" customFormat="1" ht="11.4" x14ac:dyDescent="0.25">
      <c r="B861" s="722"/>
      <c r="D861" s="716" t="s">
        <v>868</v>
      </c>
      <c r="E861" s="724" t="s">
        <v>725</v>
      </c>
      <c r="F861" s="725" t="s">
        <v>1562</v>
      </c>
      <c r="H861" s="726">
        <v>6</v>
      </c>
      <c r="K861" s="727"/>
      <c r="L861" s="722"/>
      <c r="M861" s="728"/>
      <c r="T861" s="729"/>
      <c r="AT861" s="724" t="s">
        <v>868</v>
      </c>
      <c r="AU861" s="724" t="s">
        <v>101</v>
      </c>
      <c r="AV861" s="723" t="s">
        <v>101</v>
      </c>
      <c r="AW861" s="723" t="s">
        <v>870</v>
      </c>
      <c r="AX861" s="723" t="s">
        <v>301</v>
      </c>
      <c r="AY861" s="724" t="s">
        <v>863</v>
      </c>
    </row>
    <row r="862" spans="2:65" s="731" customFormat="1" ht="11.4" x14ac:dyDescent="0.25">
      <c r="B862" s="730"/>
      <c r="D862" s="716" t="s">
        <v>868</v>
      </c>
      <c r="E862" s="732" t="s">
        <v>725</v>
      </c>
      <c r="F862" s="733" t="s">
        <v>873</v>
      </c>
      <c r="H862" s="734">
        <v>6</v>
      </c>
      <c r="K862" s="735"/>
      <c r="L862" s="730"/>
      <c r="M862" s="736"/>
      <c r="T862" s="737"/>
      <c r="AT862" s="732" t="s">
        <v>868</v>
      </c>
      <c r="AU862" s="732" t="s">
        <v>101</v>
      </c>
      <c r="AV862" s="731" t="s">
        <v>103</v>
      </c>
      <c r="AW862" s="731" t="s">
        <v>870</v>
      </c>
      <c r="AX862" s="731" t="s">
        <v>99</v>
      </c>
      <c r="AY862" s="732" t="s">
        <v>863</v>
      </c>
    </row>
    <row r="863" spans="2:65" s="163" customFormat="1" ht="39.6" customHeight="1" x14ac:dyDescent="0.25">
      <c r="B863" s="702"/>
      <c r="C863" s="703" t="s">
        <v>1563</v>
      </c>
      <c r="D863" s="703" t="s">
        <v>864</v>
      </c>
      <c r="E863" s="704" t="s">
        <v>1564</v>
      </c>
      <c r="F863" s="705" t="s">
        <v>1565</v>
      </c>
      <c r="G863" s="706" t="s">
        <v>15</v>
      </c>
      <c r="H863" s="707">
        <v>72.5</v>
      </c>
      <c r="I863" s="708"/>
      <c r="J863" s="708">
        <f>ROUND(I863*H863,2)</f>
        <v>0</v>
      </c>
      <c r="K863" s="705" t="s">
        <v>2622</v>
      </c>
      <c r="L863" s="164"/>
      <c r="M863" s="709" t="s">
        <v>725</v>
      </c>
      <c r="N863" s="710" t="s">
        <v>813</v>
      </c>
      <c r="O863" s="711">
        <v>0.22</v>
      </c>
      <c r="P863" s="711">
        <f>O863*H863</f>
        <v>15.95</v>
      </c>
      <c r="Q863" s="711">
        <v>0</v>
      </c>
      <c r="R863" s="711">
        <f>Q863*H863</f>
        <v>0</v>
      </c>
      <c r="S863" s="711">
        <v>0</v>
      </c>
      <c r="T863" s="712">
        <f>S863*H863</f>
        <v>0</v>
      </c>
      <c r="AR863" s="668" t="s">
        <v>103</v>
      </c>
      <c r="AT863" s="668" t="s">
        <v>864</v>
      </c>
      <c r="AU863" s="668" t="s">
        <v>101</v>
      </c>
      <c r="AY863" s="157" t="s">
        <v>863</v>
      </c>
      <c r="BE863" s="713">
        <f>IF(N863="základní",J863,0)</f>
        <v>0</v>
      </c>
      <c r="BF863" s="713">
        <f>IF(N863="snížená",J863,0)</f>
        <v>0</v>
      </c>
      <c r="BG863" s="713">
        <f>IF(N863="zákl. přenesená",J863,0)</f>
        <v>0</v>
      </c>
      <c r="BH863" s="713">
        <f>IF(N863="sníž. přenesená",J863,0)</f>
        <v>0</v>
      </c>
      <c r="BI863" s="713">
        <f>IF(N863="nulová",J863,0)</f>
        <v>0</v>
      </c>
      <c r="BJ863" s="157" t="s">
        <v>99</v>
      </c>
      <c r="BK863" s="713">
        <f>ROUND(I863*H863,2)</f>
        <v>0</v>
      </c>
      <c r="BL863" s="157" t="s">
        <v>103</v>
      </c>
      <c r="BM863" s="668" t="s">
        <v>1566</v>
      </c>
    </row>
    <row r="864" spans="2:65" s="715" customFormat="1" ht="11.4" x14ac:dyDescent="0.25">
      <c r="B864" s="714"/>
      <c r="D864" s="716" t="s">
        <v>868</v>
      </c>
      <c r="E864" s="717" t="s">
        <v>725</v>
      </c>
      <c r="F864" s="718" t="s">
        <v>1567</v>
      </c>
      <c r="H864" s="717" t="s">
        <v>725</v>
      </c>
      <c r="K864" s="719"/>
      <c r="L864" s="714"/>
      <c r="M864" s="720"/>
      <c r="T864" s="721"/>
      <c r="AT864" s="717" t="s">
        <v>868</v>
      </c>
      <c r="AU864" s="717" t="s">
        <v>101</v>
      </c>
      <c r="AV864" s="715" t="s">
        <v>99</v>
      </c>
      <c r="AW864" s="715" t="s">
        <v>870</v>
      </c>
      <c r="AX864" s="715" t="s">
        <v>301</v>
      </c>
      <c r="AY864" s="717" t="s">
        <v>863</v>
      </c>
    </row>
    <row r="865" spans="2:65" s="723" customFormat="1" ht="11.4" x14ac:dyDescent="0.25">
      <c r="B865" s="722"/>
      <c r="D865" s="716" t="s">
        <v>868</v>
      </c>
      <c r="E865" s="724" t="s">
        <v>725</v>
      </c>
      <c r="F865" s="725" t="s">
        <v>710</v>
      </c>
      <c r="H865" s="726">
        <v>63.62</v>
      </c>
      <c r="K865" s="727"/>
      <c r="L865" s="722"/>
      <c r="M865" s="728"/>
      <c r="T865" s="729"/>
      <c r="AT865" s="724" t="s">
        <v>868</v>
      </c>
      <c r="AU865" s="724" t="s">
        <v>101</v>
      </c>
      <c r="AV865" s="723" t="s">
        <v>101</v>
      </c>
      <c r="AW865" s="723" t="s">
        <v>870</v>
      </c>
      <c r="AX865" s="723" t="s">
        <v>301</v>
      </c>
      <c r="AY865" s="724" t="s">
        <v>863</v>
      </c>
    </row>
    <row r="866" spans="2:65" s="723" customFormat="1" ht="11.4" x14ac:dyDescent="0.25">
      <c r="B866" s="722"/>
      <c r="D866" s="716" t="s">
        <v>868</v>
      </c>
      <c r="E866" s="724" t="s">
        <v>725</v>
      </c>
      <c r="F866" s="725" t="s">
        <v>763</v>
      </c>
      <c r="H866" s="726">
        <v>8.8800000000000008</v>
      </c>
      <c r="K866" s="727"/>
      <c r="L866" s="722"/>
      <c r="M866" s="728"/>
      <c r="T866" s="729"/>
      <c r="AT866" s="724" t="s">
        <v>868</v>
      </c>
      <c r="AU866" s="724" t="s">
        <v>101</v>
      </c>
      <c r="AV866" s="723" t="s">
        <v>101</v>
      </c>
      <c r="AW866" s="723" t="s">
        <v>870</v>
      </c>
      <c r="AX866" s="723" t="s">
        <v>301</v>
      </c>
      <c r="AY866" s="724" t="s">
        <v>863</v>
      </c>
    </row>
    <row r="867" spans="2:65" s="731" customFormat="1" ht="11.4" x14ac:dyDescent="0.25">
      <c r="B867" s="730"/>
      <c r="D867" s="716" t="s">
        <v>868</v>
      </c>
      <c r="E867" s="732" t="s">
        <v>725</v>
      </c>
      <c r="F867" s="733" t="s">
        <v>873</v>
      </c>
      <c r="H867" s="734">
        <v>72.5</v>
      </c>
      <c r="K867" s="735"/>
      <c r="L867" s="730"/>
      <c r="M867" s="736"/>
      <c r="T867" s="737"/>
      <c r="AT867" s="732" t="s">
        <v>868</v>
      </c>
      <c r="AU867" s="732" t="s">
        <v>101</v>
      </c>
      <c r="AV867" s="731" t="s">
        <v>103</v>
      </c>
      <c r="AW867" s="731" t="s">
        <v>870</v>
      </c>
      <c r="AX867" s="731" t="s">
        <v>99</v>
      </c>
      <c r="AY867" s="732" t="s">
        <v>863</v>
      </c>
    </row>
    <row r="868" spans="2:65" s="163" customFormat="1" ht="48.6" customHeight="1" x14ac:dyDescent="0.25">
      <c r="B868" s="702"/>
      <c r="C868" s="703" t="s">
        <v>1568</v>
      </c>
      <c r="D868" s="703" t="s">
        <v>864</v>
      </c>
      <c r="E868" s="704" t="s">
        <v>1569</v>
      </c>
      <c r="F868" s="705" t="s">
        <v>1570</v>
      </c>
      <c r="G868" s="706" t="s">
        <v>15</v>
      </c>
      <c r="H868" s="707">
        <v>38.36</v>
      </c>
      <c r="I868" s="708"/>
      <c r="J868" s="708">
        <f>ROUND(I868*H868,2)</f>
        <v>0</v>
      </c>
      <c r="K868" s="705" t="s">
        <v>2622</v>
      </c>
      <c r="L868" s="164"/>
      <c r="M868" s="709" t="s">
        <v>725</v>
      </c>
      <c r="N868" s="710" t="s">
        <v>813</v>
      </c>
      <c r="O868" s="711">
        <v>0.46400000000000002</v>
      </c>
      <c r="P868" s="711">
        <f>O868*H868</f>
        <v>17.799040000000002</v>
      </c>
      <c r="Q868" s="711">
        <v>0</v>
      </c>
      <c r="R868" s="711">
        <f>Q868*H868</f>
        <v>0</v>
      </c>
      <c r="S868" s="711">
        <v>0</v>
      </c>
      <c r="T868" s="712">
        <f>S868*H868</f>
        <v>0</v>
      </c>
      <c r="AR868" s="668" t="s">
        <v>103</v>
      </c>
      <c r="AT868" s="668" t="s">
        <v>864</v>
      </c>
      <c r="AU868" s="668" t="s">
        <v>101</v>
      </c>
      <c r="AY868" s="157" t="s">
        <v>863</v>
      </c>
      <c r="BE868" s="713">
        <f>IF(N868="základní",J868,0)</f>
        <v>0</v>
      </c>
      <c r="BF868" s="713">
        <f>IF(N868="snížená",J868,0)</f>
        <v>0</v>
      </c>
      <c r="BG868" s="713">
        <f>IF(N868="zákl. přenesená",J868,0)</f>
        <v>0</v>
      </c>
      <c r="BH868" s="713">
        <f>IF(N868="sníž. přenesená",J868,0)</f>
        <v>0</v>
      </c>
      <c r="BI868" s="713">
        <f>IF(N868="nulová",J868,0)</f>
        <v>0</v>
      </c>
      <c r="BJ868" s="157" t="s">
        <v>99</v>
      </c>
      <c r="BK868" s="713">
        <f>ROUND(I868*H868,2)</f>
        <v>0</v>
      </c>
      <c r="BL868" s="157" t="s">
        <v>103</v>
      </c>
      <c r="BM868" s="668" t="s">
        <v>1571</v>
      </c>
    </row>
    <row r="869" spans="2:65" s="715" customFormat="1" ht="11.4" x14ac:dyDescent="0.25">
      <c r="B869" s="714"/>
      <c r="D869" s="716" t="s">
        <v>868</v>
      </c>
      <c r="E869" s="717" t="s">
        <v>725</v>
      </c>
      <c r="F869" s="718" t="s">
        <v>1572</v>
      </c>
      <c r="H869" s="717" t="s">
        <v>725</v>
      </c>
      <c r="K869" s="719"/>
      <c r="L869" s="714"/>
      <c r="M869" s="720"/>
      <c r="T869" s="721"/>
      <c r="AT869" s="717" t="s">
        <v>868</v>
      </c>
      <c r="AU869" s="717" t="s">
        <v>101</v>
      </c>
      <c r="AV869" s="715" t="s">
        <v>99</v>
      </c>
      <c r="AW869" s="715" t="s">
        <v>870</v>
      </c>
      <c r="AX869" s="715" t="s">
        <v>301</v>
      </c>
      <c r="AY869" s="717" t="s">
        <v>863</v>
      </c>
    </row>
    <row r="870" spans="2:65" s="723" customFormat="1" ht="11.4" x14ac:dyDescent="0.25">
      <c r="B870" s="722"/>
      <c r="D870" s="716" t="s">
        <v>868</v>
      </c>
      <c r="E870" s="724" t="s">
        <v>725</v>
      </c>
      <c r="F870" s="725" t="s">
        <v>756</v>
      </c>
      <c r="H870" s="726">
        <v>38.36</v>
      </c>
      <c r="K870" s="727"/>
      <c r="L870" s="722"/>
      <c r="M870" s="728"/>
      <c r="T870" s="729"/>
      <c r="AT870" s="724" t="s">
        <v>868</v>
      </c>
      <c r="AU870" s="724" t="s">
        <v>101</v>
      </c>
      <c r="AV870" s="723" t="s">
        <v>101</v>
      </c>
      <c r="AW870" s="723" t="s">
        <v>870</v>
      </c>
      <c r="AX870" s="723" t="s">
        <v>99</v>
      </c>
      <c r="AY870" s="724" t="s">
        <v>863</v>
      </c>
    </row>
    <row r="871" spans="2:65" s="690" customFormat="1" ht="22.95" customHeight="1" x14ac:dyDescent="0.25">
      <c r="B871" s="689"/>
      <c r="D871" s="691" t="s">
        <v>291</v>
      </c>
      <c r="E871" s="700" t="s">
        <v>1573</v>
      </c>
      <c r="F871" s="700" t="s">
        <v>612</v>
      </c>
      <c r="J871" s="701">
        <f>BK871</f>
        <v>0</v>
      </c>
      <c r="K871" s="694"/>
      <c r="L871" s="689"/>
      <c r="M871" s="695"/>
      <c r="P871" s="696">
        <f>P872</f>
        <v>591.26599500000009</v>
      </c>
      <c r="R871" s="696">
        <f>R872</f>
        <v>0</v>
      </c>
      <c r="T871" s="697">
        <f>T872</f>
        <v>0</v>
      </c>
      <c r="AR871" s="691" t="s">
        <v>99</v>
      </c>
      <c r="AT871" s="698" t="s">
        <v>291</v>
      </c>
      <c r="AU871" s="698" t="s">
        <v>99</v>
      </c>
      <c r="AY871" s="691" t="s">
        <v>863</v>
      </c>
      <c r="BK871" s="699">
        <f>BK872</f>
        <v>0</v>
      </c>
    </row>
    <row r="872" spans="2:65" s="163" customFormat="1" ht="29.4" customHeight="1" x14ac:dyDescent="0.25">
      <c r="B872" s="702"/>
      <c r="C872" s="703" t="s">
        <v>1574</v>
      </c>
      <c r="D872" s="703" t="s">
        <v>864</v>
      </c>
      <c r="E872" s="704" t="s">
        <v>1575</v>
      </c>
      <c r="F872" s="705" t="s">
        <v>1576</v>
      </c>
      <c r="G872" s="706" t="s">
        <v>45</v>
      </c>
      <c r="H872" s="707">
        <v>1489.335</v>
      </c>
      <c r="I872" s="708"/>
      <c r="J872" s="708">
        <f>ROUND(I872*H872,2)</f>
        <v>0</v>
      </c>
      <c r="K872" s="705" t="s">
        <v>2622</v>
      </c>
      <c r="L872" s="164"/>
      <c r="M872" s="709" t="s">
        <v>725</v>
      </c>
      <c r="N872" s="710" t="s">
        <v>813</v>
      </c>
      <c r="O872" s="711">
        <v>0.39700000000000002</v>
      </c>
      <c r="P872" s="711">
        <f>O872*H872</f>
        <v>591.26599500000009</v>
      </c>
      <c r="Q872" s="711">
        <v>0</v>
      </c>
      <c r="R872" s="711">
        <f>Q872*H872</f>
        <v>0</v>
      </c>
      <c r="S872" s="711">
        <v>0</v>
      </c>
      <c r="T872" s="712">
        <f>S872*H872</f>
        <v>0</v>
      </c>
      <c r="AR872" s="668" t="s">
        <v>103</v>
      </c>
      <c r="AT872" s="668" t="s">
        <v>864</v>
      </c>
      <c r="AU872" s="668" t="s">
        <v>101</v>
      </c>
      <c r="AY872" s="157" t="s">
        <v>863</v>
      </c>
      <c r="BE872" s="713">
        <f>IF(N872="základní",J872,0)</f>
        <v>0</v>
      </c>
      <c r="BF872" s="713">
        <f>IF(N872="snížená",J872,0)</f>
        <v>0</v>
      </c>
      <c r="BG872" s="713">
        <f>IF(N872="zákl. přenesená",J872,0)</f>
        <v>0</v>
      </c>
      <c r="BH872" s="713">
        <f>IF(N872="sníž. přenesená",J872,0)</f>
        <v>0</v>
      </c>
      <c r="BI872" s="713">
        <f>IF(N872="nulová",J872,0)</f>
        <v>0</v>
      </c>
      <c r="BJ872" s="157" t="s">
        <v>99</v>
      </c>
      <c r="BK872" s="713">
        <f>ROUND(I872*H872,2)</f>
        <v>0</v>
      </c>
      <c r="BL872" s="157" t="s">
        <v>103</v>
      </c>
      <c r="BM872" s="668" t="s">
        <v>1577</v>
      </c>
    </row>
    <row r="873" spans="2:65" s="690" customFormat="1" ht="25.95" customHeight="1" x14ac:dyDescent="0.25">
      <c r="B873" s="689"/>
      <c r="D873" s="691" t="s">
        <v>291</v>
      </c>
      <c r="E873" s="692" t="s">
        <v>1578</v>
      </c>
      <c r="F873" s="692" t="s">
        <v>1579</v>
      </c>
      <c r="J873" s="693">
        <f>BK873</f>
        <v>0</v>
      </c>
      <c r="K873" s="694"/>
      <c r="L873" s="689"/>
      <c r="M873" s="695"/>
      <c r="P873" s="696">
        <f>P874+P884</f>
        <v>8.7692289999999993</v>
      </c>
      <c r="R873" s="696">
        <f>R874+R884</f>
        <v>4.0892799999999993E-2</v>
      </c>
      <c r="T873" s="697">
        <f>T874+T884</f>
        <v>0</v>
      </c>
      <c r="AR873" s="691" t="s">
        <v>101</v>
      </c>
      <c r="AT873" s="698" t="s">
        <v>291</v>
      </c>
      <c r="AU873" s="698" t="s">
        <v>301</v>
      </c>
      <c r="AY873" s="691" t="s">
        <v>863</v>
      </c>
      <c r="BK873" s="699">
        <f>BK874+BK884</f>
        <v>0</v>
      </c>
    </row>
    <row r="874" spans="2:65" s="690" customFormat="1" ht="22.95" customHeight="1" x14ac:dyDescent="0.25">
      <c r="B874" s="689"/>
      <c r="D874" s="691" t="s">
        <v>291</v>
      </c>
      <c r="E874" s="700" t="s">
        <v>1580</v>
      </c>
      <c r="F874" s="700" t="s">
        <v>1581</v>
      </c>
      <c r="J874" s="701">
        <f>BK874</f>
        <v>0</v>
      </c>
      <c r="K874" s="694"/>
      <c r="L874" s="689"/>
      <c r="M874" s="695"/>
      <c r="P874" s="696">
        <f>SUM(P875:P883)</f>
        <v>6.439419</v>
      </c>
      <c r="R874" s="696">
        <f>SUM(R875:R883)</f>
        <v>1.7432799999999998E-2</v>
      </c>
      <c r="T874" s="697">
        <f>SUM(T875:T883)</f>
        <v>0</v>
      </c>
      <c r="AR874" s="691" t="s">
        <v>101</v>
      </c>
      <c r="AT874" s="698" t="s">
        <v>291</v>
      </c>
      <c r="AU874" s="698" t="s">
        <v>99</v>
      </c>
      <c r="AY874" s="691" t="s">
        <v>863</v>
      </c>
      <c r="BK874" s="699">
        <f>SUM(BK875:BK883)</f>
        <v>0</v>
      </c>
    </row>
    <row r="875" spans="2:65" s="163" customFormat="1" ht="27.6" customHeight="1" x14ac:dyDescent="0.25">
      <c r="B875" s="702"/>
      <c r="C875" s="703" t="s">
        <v>1582</v>
      </c>
      <c r="D875" s="703" t="s">
        <v>864</v>
      </c>
      <c r="E875" s="704" t="s">
        <v>1583</v>
      </c>
      <c r="F875" s="705" t="s">
        <v>1584</v>
      </c>
      <c r="G875" s="706" t="s">
        <v>15</v>
      </c>
      <c r="H875" s="707">
        <v>31.13</v>
      </c>
      <c r="I875" s="708"/>
      <c r="J875" s="708">
        <f>ROUND(I875*H875,2)</f>
        <v>0</v>
      </c>
      <c r="K875" s="705" t="s">
        <v>2622</v>
      </c>
      <c r="L875" s="164"/>
      <c r="M875" s="709" t="s">
        <v>725</v>
      </c>
      <c r="N875" s="710" t="s">
        <v>813</v>
      </c>
      <c r="O875" s="711">
        <v>0.122</v>
      </c>
      <c r="P875" s="711">
        <f>O875*H875</f>
        <v>3.79786</v>
      </c>
      <c r="Q875" s="711">
        <v>4.0000000000000002E-4</v>
      </c>
      <c r="R875" s="711">
        <f>Q875*H875</f>
        <v>1.2452E-2</v>
      </c>
      <c r="S875" s="711">
        <v>0</v>
      </c>
      <c r="T875" s="712">
        <f>S875*H875</f>
        <v>0</v>
      </c>
      <c r="AR875" s="668" t="s">
        <v>974</v>
      </c>
      <c r="AT875" s="668" t="s">
        <v>864</v>
      </c>
      <c r="AU875" s="668" t="s">
        <v>101</v>
      </c>
      <c r="AY875" s="157" t="s">
        <v>863</v>
      </c>
      <c r="BE875" s="713">
        <f>IF(N875="základní",J875,0)</f>
        <v>0</v>
      </c>
      <c r="BF875" s="713">
        <f>IF(N875="snížená",J875,0)</f>
        <v>0</v>
      </c>
      <c r="BG875" s="713">
        <f>IF(N875="zákl. přenesená",J875,0)</f>
        <v>0</v>
      </c>
      <c r="BH875" s="713">
        <f>IF(N875="sníž. přenesená",J875,0)</f>
        <v>0</v>
      </c>
      <c r="BI875" s="713">
        <f>IF(N875="nulová",J875,0)</f>
        <v>0</v>
      </c>
      <c r="BJ875" s="157" t="s">
        <v>99</v>
      </c>
      <c r="BK875" s="713">
        <f>ROUND(I875*H875,2)</f>
        <v>0</v>
      </c>
      <c r="BL875" s="157" t="s">
        <v>974</v>
      </c>
      <c r="BM875" s="668" t="s">
        <v>1585</v>
      </c>
    </row>
    <row r="876" spans="2:65" s="715" customFormat="1" ht="11.4" x14ac:dyDescent="0.25">
      <c r="B876" s="714"/>
      <c r="D876" s="716" t="s">
        <v>868</v>
      </c>
      <c r="E876" s="717" t="s">
        <v>725</v>
      </c>
      <c r="F876" s="718" t="s">
        <v>886</v>
      </c>
      <c r="H876" s="717" t="s">
        <v>725</v>
      </c>
      <c r="K876" s="719"/>
      <c r="L876" s="714"/>
      <c r="M876" s="720"/>
      <c r="T876" s="721"/>
      <c r="AT876" s="717" t="s">
        <v>868</v>
      </c>
      <c r="AU876" s="717" t="s">
        <v>101</v>
      </c>
      <c r="AV876" s="715" t="s">
        <v>99</v>
      </c>
      <c r="AW876" s="715" t="s">
        <v>870</v>
      </c>
      <c r="AX876" s="715" t="s">
        <v>301</v>
      </c>
      <c r="AY876" s="717" t="s">
        <v>863</v>
      </c>
    </row>
    <row r="877" spans="2:65" s="723" customFormat="1" ht="11.4" x14ac:dyDescent="0.25">
      <c r="B877" s="722"/>
      <c r="D877" s="716" t="s">
        <v>868</v>
      </c>
      <c r="E877" s="724" t="s">
        <v>725</v>
      </c>
      <c r="F877" s="725" t="s">
        <v>1586</v>
      </c>
      <c r="H877" s="726">
        <v>31.13</v>
      </c>
      <c r="K877" s="727"/>
      <c r="L877" s="722"/>
      <c r="M877" s="728"/>
      <c r="T877" s="729"/>
      <c r="AT877" s="724" t="s">
        <v>868</v>
      </c>
      <c r="AU877" s="724" t="s">
        <v>101</v>
      </c>
      <c r="AV877" s="723" t="s">
        <v>101</v>
      </c>
      <c r="AW877" s="723" t="s">
        <v>870</v>
      </c>
      <c r="AX877" s="723" t="s">
        <v>301</v>
      </c>
      <c r="AY877" s="724" t="s">
        <v>863</v>
      </c>
    </row>
    <row r="878" spans="2:65" s="731" customFormat="1" ht="11.4" x14ac:dyDescent="0.25">
      <c r="B878" s="730"/>
      <c r="D878" s="716" t="s">
        <v>868</v>
      </c>
      <c r="E878" s="732" t="s">
        <v>725</v>
      </c>
      <c r="F878" s="733" t="s">
        <v>873</v>
      </c>
      <c r="H878" s="734">
        <v>31.13</v>
      </c>
      <c r="K878" s="735"/>
      <c r="L878" s="730"/>
      <c r="M878" s="736"/>
      <c r="T878" s="737"/>
      <c r="AT878" s="732" t="s">
        <v>868</v>
      </c>
      <c r="AU878" s="732" t="s">
        <v>101</v>
      </c>
      <c r="AV878" s="731" t="s">
        <v>103</v>
      </c>
      <c r="AW878" s="731" t="s">
        <v>870</v>
      </c>
      <c r="AX878" s="731" t="s">
        <v>99</v>
      </c>
      <c r="AY878" s="732" t="s">
        <v>863</v>
      </c>
    </row>
    <row r="879" spans="2:65" s="163" customFormat="1" ht="25.2" customHeight="1" x14ac:dyDescent="0.25">
      <c r="B879" s="702"/>
      <c r="C879" s="703" t="s">
        <v>1587</v>
      </c>
      <c r="D879" s="703" t="s">
        <v>864</v>
      </c>
      <c r="E879" s="704" t="s">
        <v>1588</v>
      </c>
      <c r="F879" s="705" t="s">
        <v>1589</v>
      </c>
      <c r="G879" s="706" t="s">
        <v>140</v>
      </c>
      <c r="H879" s="707">
        <v>31.13</v>
      </c>
      <c r="I879" s="708"/>
      <c r="J879" s="708">
        <f>ROUND(I879*H879,2)</f>
        <v>0</v>
      </c>
      <c r="K879" s="705" t="s">
        <v>2622</v>
      </c>
      <c r="L879" s="164"/>
      <c r="M879" s="709" t="s">
        <v>725</v>
      </c>
      <c r="N879" s="710" t="s">
        <v>813</v>
      </c>
      <c r="O879" s="711">
        <v>8.4000000000000005E-2</v>
      </c>
      <c r="P879" s="711">
        <f>O879*H879</f>
        <v>2.6149200000000001</v>
      </c>
      <c r="Q879" s="711">
        <v>1.6000000000000001E-4</v>
      </c>
      <c r="R879" s="711">
        <f>Q879*H879</f>
        <v>4.9808000000000005E-3</v>
      </c>
      <c r="S879" s="711">
        <v>0</v>
      </c>
      <c r="T879" s="712">
        <f>S879*H879</f>
        <v>0</v>
      </c>
      <c r="AR879" s="668" t="s">
        <v>974</v>
      </c>
      <c r="AT879" s="668" t="s">
        <v>864</v>
      </c>
      <c r="AU879" s="668" t="s">
        <v>101</v>
      </c>
      <c r="AY879" s="157" t="s">
        <v>863</v>
      </c>
      <c r="BE879" s="713">
        <f>IF(N879="základní",J879,0)</f>
        <v>0</v>
      </c>
      <c r="BF879" s="713">
        <f>IF(N879="snížená",J879,0)</f>
        <v>0</v>
      </c>
      <c r="BG879" s="713">
        <f>IF(N879="zákl. přenesená",J879,0)</f>
        <v>0</v>
      </c>
      <c r="BH879" s="713">
        <f>IF(N879="sníž. přenesená",J879,0)</f>
        <v>0</v>
      </c>
      <c r="BI879" s="713">
        <f>IF(N879="nulová",J879,0)</f>
        <v>0</v>
      </c>
      <c r="BJ879" s="157" t="s">
        <v>99</v>
      </c>
      <c r="BK879" s="713">
        <f>ROUND(I879*H879,2)</f>
        <v>0</v>
      </c>
      <c r="BL879" s="157" t="s">
        <v>974</v>
      </c>
      <c r="BM879" s="668" t="s">
        <v>1590</v>
      </c>
    </row>
    <row r="880" spans="2:65" s="715" customFormat="1" ht="11.4" x14ac:dyDescent="0.25">
      <c r="B880" s="714"/>
      <c r="D880" s="716" t="s">
        <v>868</v>
      </c>
      <c r="E880" s="717" t="s">
        <v>725</v>
      </c>
      <c r="F880" s="718" t="s">
        <v>886</v>
      </c>
      <c r="H880" s="717" t="s">
        <v>725</v>
      </c>
      <c r="K880" s="719"/>
      <c r="L880" s="714"/>
      <c r="M880" s="720"/>
      <c r="T880" s="721"/>
      <c r="AT880" s="717" t="s">
        <v>868</v>
      </c>
      <c r="AU880" s="717" t="s">
        <v>101</v>
      </c>
      <c r="AV880" s="715" t="s">
        <v>99</v>
      </c>
      <c r="AW880" s="715" t="s">
        <v>870</v>
      </c>
      <c r="AX880" s="715" t="s">
        <v>301</v>
      </c>
      <c r="AY880" s="717" t="s">
        <v>863</v>
      </c>
    </row>
    <row r="881" spans="2:65" s="723" customFormat="1" ht="11.4" x14ac:dyDescent="0.25">
      <c r="B881" s="722"/>
      <c r="D881" s="716" t="s">
        <v>868</v>
      </c>
      <c r="E881" s="724" t="s">
        <v>725</v>
      </c>
      <c r="F881" s="725" t="s">
        <v>1591</v>
      </c>
      <c r="H881" s="726">
        <v>31.13</v>
      </c>
      <c r="K881" s="727"/>
      <c r="L881" s="722"/>
      <c r="M881" s="728"/>
      <c r="T881" s="729"/>
      <c r="AT881" s="724" t="s">
        <v>868</v>
      </c>
      <c r="AU881" s="724" t="s">
        <v>101</v>
      </c>
      <c r="AV881" s="723" t="s">
        <v>101</v>
      </c>
      <c r="AW881" s="723" t="s">
        <v>870</v>
      </c>
      <c r="AX881" s="723" t="s">
        <v>301</v>
      </c>
      <c r="AY881" s="724" t="s">
        <v>863</v>
      </c>
    </row>
    <row r="882" spans="2:65" s="731" customFormat="1" ht="11.4" x14ac:dyDescent="0.25">
      <c r="B882" s="730"/>
      <c r="D882" s="716" t="s">
        <v>868</v>
      </c>
      <c r="E882" s="732" t="s">
        <v>725</v>
      </c>
      <c r="F882" s="733" t="s">
        <v>873</v>
      </c>
      <c r="H882" s="734">
        <v>31.13</v>
      </c>
      <c r="K882" s="735"/>
      <c r="L882" s="730"/>
      <c r="M882" s="736"/>
      <c r="T882" s="737"/>
      <c r="AT882" s="732" t="s">
        <v>868</v>
      </c>
      <c r="AU882" s="732" t="s">
        <v>101</v>
      </c>
      <c r="AV882" s="731" t="s">
        <v>103</v>
      </c>
      <c r="AW882" s="731" t="s">
        <v>870</v>
      </c>
      <c r="AX882" s="731" t="s">
        <v>99</v>
      </c>
      <c r="AY882" s="732" t="s">
        <v>863</v>
      </c>
    </row>
    <row r="883" spans="2:65" s="163" customFormat="1" ht="37.950000000000003" customHeight="1" x14ac:dyDescent="0.25">
      <c r="B883" s="702"/>
      <c r="C883" s="703" t="s">
        <v>1592</v>
      </c>
      <c r="D883" s="703" t="s">
        <v>864</v>
      </c>
      <c r="E883" s="704" t="s">
        <v>1593</v>
      </c>
      <c r="F883" s="705" t="s">
        <v>1594</v>
      </c>
      <c r="G883" s="706" t="s">
        <v>45</v>
      </c>
      <c r="H883" s="707">
        <v>1.7000000000000001E-2</v>
      </c>
      <c r="I883" s="708"/>
      <c r="J883" s="708">
        <f>ROUND(I883*H883,2)</f>
        <v>0</v>
      </c>
      <c r="K883" s="705" t="s">
        <v>2622</v>
      </c>
      <c r="L883" s="164"/>
      <c r="M883" s="709" t="s">
        <v>725</v>
      </c>
      <c r="N883" s="710" t="s">
        <v>813</v>
      </c>
      <c r="O883" s="711">
        <v>1.5669999999999999</v>
      </c>
      <c r="P883" s="711">
        <f>O883*H883</f>
        <v>2.6638999999999999E-2</v>
      </c>
      <c r="Q883" s="711">
        <v>0</v>
      </c>
      <c r="R883" s="711">
        <f>Q883*H883</f>
        <v>0</v>
      </c>
      <c r="S883" s="711">
        <v>0</v>
      </c>
      <c r="T883" s="712">
        <f>S883*H883</f>
        <v>0</v>
      </c>
      <c r="AR883" s="668" t="s">
        <v>974</v>
      </c>
      <c r="AT883" s="668" t="s">
        <v>864</v>
      </c>
      <c r="AU883" s="668" t="s">
        <v>101</v>
      </c>
      <c r="AY883" s="157" t="s">
        <v>863</v>
      </c>
      <c r="BE883" s="713">
        <f>IF(N883="základní",J883,0)</f>
        <v>0</v>
      </c>
      <c r="BF883" s="713">
        <f>IF(N883="snížená",J883,0)</f>
        <v>0</v>
      </c>
      <c r="BG883" s="713">
        <f>IF(N883="zákl. přenesená",J883,0)</f>
        <v>0</v>
      </c>
      <c r="BH883" s="713">
        <f>IF(N883="sníž. přenesená",J883,0)</f>
        <v>0</v>
      </c>
      <c r="BI883" s="713">
        <f>IF(N883="nulová",J883,0)</f>
        <v>0</v>
      </c>
      <c r="BJ883" s="157" t="s">
        <v>99</v>
      </c>
      <c r="BK883" s="713">
        <f>ROUND(I883*H883,2)</f>
        <v>0</v>
      </c>
      <c r="BL883" s="157" t="s">
        <v>974</v>
      </c>
      <c r="BM883" s="668" t="s">
        <v>1595</v>
      </c>
    </row>
    <row r="884" spans="2:65" s="690" customFormat="1" ht="22.95" customHeight="1" x14ac:dyDescent="0.25">
      <c r="B884" s="689"/>
      <c r="D884" s="691" t="s">
        <v>291</v>
      </c>
      <c r="E884" s="700" t="s">
        <v>1596</v>
      </c>
      <c r="F884" s="700" t="s">
        <v>1597</v>
      </c>
      <c r="J884" s="701">
        <f>BK884</f>
        <v>0</v>
      </c>
      <c r="K884" s="694"/>
      <c r="L884" s="689"/>
      <c r="M884" s="695"/>
      <c r="P884" s="696">
        <f>SUM(P885:P894)</f>
        <v>2.3298099999999997</v>
      </c>
      <c r="R884" s="696">
        <f>SUM(R885:R894)</f>
        <v>2.3459999999999998E-2</v>
      </c>
      <c r="T884" s="697">
        <f>SUM(T885:T894)</f>
        <v>0</v>
      </c>
      <c r="AR884" s="691" t="s">
        <v>101</v>
      </c>
      <c r="AT884" s="698" t="s">
        <v>291</v>
      </c>
      <c r="AU884" s="698" t="s">
        <v>99</v>
      </c>
      <c r="AY884" s="691" t="s">
        <v>863</v>
      </c>
      <c r="BK884" s="699">
        <f>SUM(BK885:BK894)</f>
        <v>0</v>
      </c>
    </row>
    <row r="885" spans="2:65" s="163" customFormat="1" ht="14.4" customHeight="1" x14ac:dyDescent="0.25">
      <c r="B885" s="702"/>
      <c r="C885" s="703" t="s">
        <v>1598</v>
      </c>
      <c r="D885" s="703" t="s">
        <v>864</v>
      </c>
      <c r="E885" s="704" t="s">
        <v>1599</v>
      </c>
      <c r="F885" s="705" t="s">
        <v>1600</v>
      </c>
      <c r="G885" s="706" t="s">
        <v>140</v>
      </c>
      <c r="H885" s="707">
        <v>1</v>
      </c>
      <c r="I885" s="708"/>
      <c r="J885" s="708">
        <f>ROUND(I885*H885,2)</f>
        <v>0</v>
      </c>
      <c r="K885" s="705" t="s">
        <v>2622</v>
      </c>
      <c r="L885" s="164"/>
      <c r="M885" s="709" t="s">
        <v>725</v>
      </c>
      <c r="N885" s="710" t="s">
        <v>813</v>
      </c>
      <c r="O885" s="711">
        <v>0.57399999999999995</v>
      </c>
      <c r="P885" s="711">
        <f>O885*H885</f>
        <v>0.57399999999999995</v>
      </c>
      <c r="Q885" s="711">
        <v>3.0799999999999998E-3</v>
      </c>
      <c r="R885" s="711">
        <f>Q885*H885</f>
        <v>3.0799999999999998E-3</v>
      </c>
      <c r="S885" s="711">
        <v>0</v>
      </c>
      <c r="T885" s="712">
        <f>S885*H885</f>
        <v>0</v>
      </c>
      <c r="AR885" s="668" t="s">
        <v>974</v>
      </c>
      <c r="AT885" s="668" t="s">
        <v>864</v>
      </c>
      <c r="AU885" s="668" t="s">
        <v>101</v>
      </c>
      <c r="AY885" s="157" t="s">
        <v>863</v>
      </c>
      <c r="BE885" s="713">
        <f>IF(N885="základní",J885,0)</f>
        <v>0</v>
      </c>
      <c r="BF885" s="713">
        <f>IF(N885="snížená",J885,0)</f>
        <v>0</v>
      </c>
      <c r="BG885" s="713">
        <f>IF(N885="zákl. přenesená",J885,0)</f>
        <v>0</v>
      </c>
      <c r="BH885" s="713">
        <f>IF(N885="sníž. přenesená",J885,0)</f>
        <v>0</v>
      </c>
      <c r="BI885" s="713">
        <f>IF(N885="nulová",J885,0)</f>
        <v>0</v>
      </c>
      <c r="BJ885" s="157" t="s">
        <v>99</v>
      </c>
      <c r="BK885" s="713">
        <f>ROUND(I885*H885,2)</f>
        <v>0</v>
      </c>
      <c r="BL885" s="157" t="s">
        <v>974</v>
      </c>
      <c r="BM885" s="668" t="s">
        <v>1601</v>
      </c>
    </row>
    <row r="886" spans="2:65" s="715" customFormat="1" ht="11.4" x14ac:dyDescent="0.25">
      <c r="B886" s="714"/>
      <c r="D886" s="716" t="s">
        <v>868</v>
      </c>
      <c r="E886" s="717" t="s">
        <v>725</v>
      </c>
      <c r="F886" s="718" t="s">
        <v>886</v>
      </c>
      <c r="H886" s="717" t="s">
        <v>725</v>
      </c>
      <c r="K886" s="719"/>
      <c r="L886" s="714"/>
      <c r="M886" s="720"/>
      <c r="T886" s="721"/>
      <c r="AT886" s="717" t="s">
        <v>868</v>
      </c>
      <c r="AU886" s="717" t="s">
        <v>101</v>
      </c>
      <c r="AV886" s="715" t="s">
        <v>99</v>
      </c>
      <c r="AW886" s="715" t="s">
        <v>870</v>
      </c>
      <c r="AX886" s="715" t="s">
        <v>301</v>
      </c>
      <c r="AY886" s="717" t="s">
        <v>863</v>
      </c>
    </row>
    <row r="887" spans="2:65" s="723" customFormat="1" ht="11.4" x14ac:dyDescent="0.25">
      <c r="B887" s="722"/>
      <c r="D887" s="716" t="s">
        <v>868</v>
      </c>
      <c r="E887" s="724" t="s">
        <v>725</v>
      </c>
      <c r="F887" s="725" t="s">
        <v>1602</v>
      </c>
      <c r="H887" s="726">
        <v>1</v>
      </c>
      <c r="K887" s="727"/>
      <c r="L887" s="722"/>
      <c r="M887" s="728"/>
      <c r="T887" s="729"/>
      <c r="AT887" s="724" t="s">
        <v>868</v>
      </c>
      <c r="AU887" s="724" t="s">
        <v>101</v>
      </c>
      <c r="AV887" s="723" t="s">
        <v>101</v>
      </c>
      <c r="AW887" s="723" t="s">
        <v>870</v>
      </c>
      <c r="AX887" s="723" t="s">
        <v>301</v>
      </c>
      <c r="AY887" s="724" t="s">
        <v>863</v>
      </c>
    </row>
    <row r="888" spans="2:65" s="731" customFormat="1" ht="11.4" x14ac:dyDescent="0.25">
      <c r="B888" s="730"/>
      <c r="D888" s="716" t="s">
        <v>868</v>
      </c>
      <c r="E888" s="732" t="s">
        <v>725</v>
      </c>
      <c r="F888" s="733" t="s">
        <v>873</v>
      </c>
      <c r="H888" s="734">
        <v>1</v>
      </c>
      <c r="K888" s="735"/>
      <c r="L888" s="730"/>
      <c r="M888" s="736"/>
      <c r="T888" s="737"/>
      <c r="AT888" s="732" t="s">
        <v>868</v>
      </c>
      <c r="AU888" s="732" t="s">
        <v>101</v>
      </c>
      <c r="AV888" s="731" t="s">
        <v>103</v>
      </c>
      <c r="AW888" s="731" t="s">
        <v>870</v>
      </c>
      <c r="AX888" s="731" t="s">
        <v>99</v>
      </c>
      <c r="AY888" s="732" t="s">
        <v>863</v>
      </c>
    </row>
    <row r="889" spans="2:65" s="163" customFormat="1" ht="26.4" customHeight="1" x14ac:dyDescent="0.25">
      <c r="B889" s="702"/>
      <c r="C889" s="703" t="s">
        <v>1603</v>
      </c>
      <c r="D889" s="703" t="s">
        <v>864</v>
      </c>
      <c r="E889" s="704" t="s">
        <v>1604</v>
      </c>
      <c r="F889" s="705" t="s">
        <v>1605</v>
      </c>
      <c r="G889" s="706" t="s">
        <v>920</v>
      </c>
      <c r="H889" s="707">
        <v>2</v>
      </c>
      <c r="I889" s="708"/>
      <c r="J889" s="708">
        <f>ROUND(I889*H889,2)</f>
        <v>0</v>
      </c>
      <c r="K889" s="705" t="s">
        <v>2622</v>
      </c>
      <c r="L889" s="164"/>
      <c r="M889" s="709" t="s">
        <v>725</v>
      </c>
      <c r="N889" s="710" t="s">
        <v>813</v>
      </c>
      <c r="O889" s="711">
        <v>0.86099999999999999</v>
      </c>
      <c r="P889" s="711">
        <f>O889*H889</f>
        <v>1.722</v>
      </c>
      <c r="Q889" s="711">
        <v>1.0189999999999999E-2</v>
      </c>
      <c r="R889" s="711">
        <f>Q889*H889</f>
        <v>2.0379999999999999E-2</v>
      </c>
      <c r="S889" s="711">
        <v>0</v>
      </c>
      <c r="T889" s="712">
        <f>S889*H889</f>
        <v>0</v>
      </c>
      <c r="AR889" s="668" t="s">
        <v>974</v>
      </c>
      <c r="AT889" s="668" t="s">
        <v>864</v>
      </c>
      <c r="AU889" s="668" t="s">
        <v>101</v>
      </c>
      <c r="AY889" s="157" t="s">
        <v>863</v>
      </c>
      <c r="BE889" s="713">
        <f>IF(N889="základní",J889,0)</f>
        <v>0</v>
      </c>
      <c r="BF889" s="713">
        <f>IF(N889="snížená",J889,0)</f>
        <v>0</v>
      </c>
      <c r="BG889" s="713">
        <f>IF(N889="zákl. přenesená",J889,0)</f>
        <v>0</v>
      </c>
      <c r="BH889" s="713">
        <f>IF(N889="sníž. přenesená",J889,0)</f>
        <v>0</v>
      </c>
      <c r="BI889" s="713">
        <f>IF(N889="nulová",J889,0)</f>
        <v>0</v>
      </c>
      <c r="BJ889" s="157" t="s">
        <v>99</v>
      </c>
      <c r="BK889" s="713">
        <f>ROUND(I889*H889,2)</f>
        <v>0</v>
      </c>
      <c r="BL889" s="157" t="s">
        <v>974</v>
      </c>
      <c r="BM889" s="668" t="s">
        <v>1606</v>
      </c>
    </row>
    <row r="890" spans="2:65" s="715" customFormat="1" ht="11.4" x14ac:dyDescent="0.25">
      <c r="B890" s="714"/>
      <c r="D890" s="716" t="s">
        <v>868</v>
      </c>
      <c r="E890" s="717" t="s">
        <v>725</v>
      </c>
      <c r="F890" s="718" t="s">
        <v>886</v>
      </c>
      <c r="H890" s="717" t="s">
        <v>725</v>
      </c>
      <c r="K890" s="719"/>
      <c r="L890" s="714"/>
      <c r="M890" s="720"/>
      <c r="T890" s="721"/>
      <c r="AT890" s="717" t="s">
        <v>868</v>
      </c>
      <c r="AU890" s="717" t="s">
        <v>101</v>
      </c>
      <c r="AV890" s="715" t="s">
        <v>99</v>
      </c>
      <c r="AW890" s="715" t="s">
        <v>870</v>
      </c>
      <c r="AX890" s="715" t="s">
        <v>301</v>
      </c>
      <c r="AY890" s="717" t="s">
        <v>863</v>
      </c>
    </row>
    <row r="891" spans="2:65" s="723" customFormat="1" ht="11.4" x14ac:dyDescent="0.25">
      <c r="B891" s="722"/>
      <c r="D891" s="716" t="s">
        <v>868</v>
      </c>
      <c r="E891" s="724" t="s">
        <v>725</v>
      </c>
      <c r="F891" s="725" t="s">
        <v>1607</v>
      </c>
      <c r="H891" s="726">
        <v>1</v>
      </c>
      <c r="K891" s="727"/>
      <c r="L891" s="722"/>
      <c r="M891" s="728"/>
      <c r="T891" s="729"/>
      <c r="AT891" s="724" t="s">
        <v>868</v>
      </c>
      <c r="AU891" s="724" t="s">
        <v>101</v>
      </c>
      <c r="AV891" s="723" t="s">
        <v>101</v>
      </c>
      <c r="AW891" s="723" t="s">
        <v>870</v>
      </c>
      <c r="AX891" s="723" t="s">
        <v>301</v>
      </c>
      <c r="AY891" s="724" t="s">
        <v>863</v>
      </c>
    </row>
    <row r="892" spans="2:65" s="723" customFormat="1" ht="11.4" x14ac:dyDescent="0.25">
      <c r="B892" s="722"/>
      <c r="D892" s="716" t="s">
        <v>868</v>
      </c>
      <c r="E892" s="724" t="s">
        <v>725</v>
      </c>
      <c r="F892" s="725" t="s">
        <v>1608</v>
      </c>
      <c r="H892" s="726">
        <v>1</v>
      </c>
      <c r="K892" s="727"/>
      <c r="L892" s="722"/>
      <c r="M892" s="728"/>
      <c r="T892" s="729"/>
      <c r="AT892" s="724" t="s">
        <v>868</v>
      </c>
      <c r="AU892" s="724" t="s">
        <v>101</v>
      </c>
      <c r="AV892" s="723" t="s">
        <v>101</v>
      </c>
      <c r="AW892" s="723" t="s">
        <v>870</v>
      </c>
      <c r="AX892" s="723" t="s">
        <v>301</v>
      </c>
      <c r="AY892" s="724" t="s">
        <v>863</v>
      </c>
    </row>
    <row r="893" spans="2:65" s="731" customFormat="1" ht="11.4" x14ac:dyDescent="0.25">
      <c r="B893" s="730"/>
      <c r="D893" s="716" t="s">
        <v>868</v>
      </c>
      <c r="E893" s="732" t="s">
        <v>725</v>
      </c>
      <c r="F893" s="733" t="s">
        <v>873</v>
      </c>
      <c r="H893" s="734">
        <v>2</v>
      </c>
      <c r="K893" s="735"/>
      <c r="L893" s="730"/>
      <c r="M893" s="736"/>
      <c r="T893" s="737"/>
      <c r="AT893" s="732" t="s">
        <v>868</v>
      </c>
      <c r="AU893" s="732" t="s">
        <v>101</v>
      </c>
      <c r="AV893" s="731" t="s">
        <v>103</v>
      </c>
      <c r="AW893" s="731" t="s">
        <v>870</v>
      </c>
      <c r="AX893" s="731" t="s">
        <v>99</v>
      </c>
      <c r="AY893" s="732" t="s">
        <v>863</v>
      </c>
    </row>
    <row r="894" spans="2:65" s="163" customFormat="1" ht="24.15" customHeight="1" x14ac:dyDescent="0.25">
      <c r="B894" s="702"/>
      <c r="C894" s="703" t="s">
        <v>1609</v>
      </c>
      <c r="D894" s="703" t="s">
        <v>864</v>
      </c>
      <c r="E894" s="704" t="s">
        <v>1610</v>
      </c>
      <c r="F894" s="705" t="s">
        <v>1611</v>
      </c>
      <c r="G894" s="706" t="s">
        <v>45</v>
      </c>
      <c r="H894" s="707">
        <v>2.3E-2</v>
      </c>
      <c r="I894" s="708"/>
      <c r="J894" s="708">
        <f>ROUND(I894*H894,2)</f>
        <v>0</v>
      </c>
      <c r="K894" s="705" t="s">
        <v>2622</v>
      </c>
      <c r="L894" s="164"/>
      <c r="M894" s="755" t="s">
        <v>725</v>
      </c>
      <c r="N894" s="756" t="s">
        <v>813</v>
      </c>
      <c r="O894" s="757">
        <v>1.47</v>
      </c>
      <c r="P894" s="757">
        <f>O894*H894</f>
        <v>3.381E-2</v>
      </c>
      <c r="Q894" s="757">
        <v>0</v>
      </c>
      <c r="R894" s="757">
        <f>Q894*H894</f>
        <v>0</v>
      </c>
      <c r="S894" s="757">
        <v>0</v>
      </c>
      <c r="T894" s="758">
        <f>S894*H894</f>
        <v>0</v>
      </c>
      <c r="AR894" s="668" t="s">
        <v>974</v>
      </c>
      <c r="AT894" s="668" t="s">
        <v>864</v>
      </c>
      <c r="AU894" s="668" t="s">
        <v>101</v>
      </c>
      <c r="AY894" s="157" t="s">
        <v>863</v>
      </c>
      <c r="BE894" s="713">
        <f>IF(N894="základní",J894,0)</f>
        <v>0</v>
      </c>
      <c r="BF894" s="713">
        <f>IF(N894="snížená",J894,0)</f>
        <v>0</v>
      </c>
      <c r="BG894" s="713">
        <f>IF(N894="zákl. přenesená",J894,0)</f>
        <v>0</v>
      </c>
      <c r="BH894" s="713">
        <f>IF(N894="sníž. přenesená",J894,0)</f>
        <v>0</v>
      </c>
      <c r="BI894" s="713">
        <f>IF(N894="nulová",J894,0)</f>
        <v>0</v>
      </c>
      <c r="BJ894" s="157" t="s">
        <v>99</v>
      </c>
      <c r="BK894" s="713">
        <f>ROUND(I894*H894,2)</f>
        <v>0</v>
      </c>
      <c r="BL894" s="157" t="s">
        <v>974</v>
      </c>
      <c r="BM894" s="668" t="s">
        <v>1612</v>
      </c>
    </row>
    <row r="895" spans="2:65" s="163" customFormat="1" ht="6.9" customHeight="1" x14ac:dyDescent="0.25">
      <c r="B895" s="168"/>
      <c r="C895" s="169"/>
      <c r="D895" s="169"/>
      <c r="E895" s="169"/>
      <c r="F895" s="169"/>
      <c r="G895" s="169"/>
      <c r="H895" s="169"/>
      <c r="I895" s="169"/>
      <c r="J895" s="169"/>
      <c r="K895" s="666"/>
      <c r="L895" s="164"/>
    </row>
  </sheetData>
  <mergeCells count="9">
    <mergeCell ref="E48:H48"/>
    <mergeCell ref="E50:H50"/>
    <mergeCell ref="E82:H82"/>
    <mergeCell ref="E84:H84"/>
    <mergeCell ref="L2:V2"/>
    <mergeCell ref="E7:H7"/>
    <mergeCell ref="E9:H9"/>
    <mergeCell ref="E18:H18"/>
    <mergeCell ref="E27:H27"/>
  </mergeCells>
  <pageMargins left="0.39370078740157483" right="0.39370078740157483" top="0.59055118110236227" bottom="0.59055118110236227" header="0.31496062992125984" footer="0.31496062992125984"/>
  <pageSetup paperSize="9" scale="69" fitToHeight="100" orientation="portrait" r:id="rId1"/>
  <headerFooter>
    <oddFoote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H314"/>
  <sheetViews>
    <sheetView topLeftCell="A121" workbookViewId="0"/>
  </sheetViews>
  <sheetFormatPr defaultRowHeight="13.2" x14ac:dyDescent="0.25"/>
  <cols>
    <col min="1" max="1" width="6.44140625" customWidth="1"/>
    <col min="2" max="2" width="1.33203125" customWidth="1"/>
    <col min="3" max="3" width="19.44140625" customWidth="1"/>
    <col min="4" max="4" width="92" customWidth="1"/>
    <col min="5" max="5" width="5.88671875" customWidth="1"/>
    <col min="6" max="6" width="15.5546875" customWidth="1"/>
    <col min="7" max="7" width="1.33203125" customWidth="1"/>
    <col min="8" max="8" width="6.44140625" hidden="1" customWidth="1"/>
  </cols>
  <sheetData>
    <row r="1" spans="2:8" ht="11.25" customHeight="1" x14ac:dyDescent="0.25"/>
    <row r="2" spans="2:8" ht="36.9" customHeight="1" x14ac:dyDescent="0.25"/>
    <row r="3" spans="2:8" ht="6.9" customHeight="1" x14ac:dyDescent="0.25">
      <c r="B3" s="158"/>
      <c r="C3" s="159"/>
      <c r="D3" s="159"/>
      <c r="E3" s="159"/>
      <c r="F3" s="159"/>
      <c r="G3" s="159"/>
      <c r="H3" s="160"/>
    </row>
    <row r="4" spans="2:8" ht="24.9" customHeight="1" x14ac:dyDescent="0.25">
      <c r="B4" s="160"/>
      <c r="C4" s="161" t="s">
        <v>1613</v>
      </c>
      <c r="H4" s="160"/>
    </row>
    <row r="5" spans="2:8" ht="12" customHeight="1" x14ac:dyDescent="0.25">
      <c r="B5" s="160"/>
      <c r="C5" s="181" t="s">
        <v>1614</v>
      </c>
      <c r="D5" s="1023" t="s">
        <v>1615</v>
      </c>
      <c r="E5" s="1021"/>
      <c r="F5" s="1021"/>
      <c r="H5" s="160"/>
    </row>
    <row r="6" spans="2:8" ht="36.9" customHeight="1" x14ac:dyDescent="0.25">
      <c r="B6" s="160"/>
      <c r="C6" s="182" t="s">
        <v>706</v>
      </c>
      <c r="D6" s="1024" t="s">
        <v>1616</v>
      </c>
      <c r="E6" s="1021"/>
      <c r="F6" s="1021"/>
      <c r="H6" s="160"/>
    </row>
    <row r="7" spans="2:8" ht="16.5" customHeight="1" x14ac:dyDescent="0.25">
      <c r="B7" s="160"/>
      <c r="C7" s="162" t="s">
        <v>732</v>
      </c>
      <c r="D7" s="166" t="str">
        <f>'[1]Rekapitulace stavby'!AN8</f>
        <v>27. 4. 2021</v>
      </c>
      <c r="H7" s="160"/>
    </row>
    <row r="8" spans="2:8" s="163" customFormat="1" ht="10.95" customHeight="1" x14ac:dyDescent="0.25">
      <c r="B8" s="164"/>
      <c r="H8" s="164"/>
    </row>
    <row r="9" spans="2:8" s="52" customFormat="1" ht="29.25" customHeight="1" x14ac:dyDescent="0.25">
      <c r="B9" s="172"/>
      <c r="C9" s="173" t="s">
        <v>848</v>
      </c>
      <c r="D9" s="174" t="s">
        <v>849</v>
      </c>
      <c r="E9" s="174" t="s">
        <v>850</v>
      </c>
      <c r="F9" s="175" t="s">
        <v>1617</v>
      </c>
      <c r="H9" s="172"/>
    </row>
    <row r="10" spans="2:8" s="163" customFormat="1" ht="26.4" customHeight="1" x14ac:dyDescent="0.25">
      <c r="B10" s="164"/>
      <c r="C10" s="183" t="s">
        <v>1618</v>
      </c>
      <c r="D10" s="183" t="s">
        <v>1619</v>
      </c>
      <c r="H10" s="164"/>
    </row>
    <row r="11" spans="2:8" s="163" customFormat="1" ht="16.95" customHeight="1" x14ac:dyDescent="0.25">
      <c r="B11" s="164"/>
      <c r="C11" s="184" t="s">
        <v>691</v>
      </c>
      <c r="D11" s="185" t="s">
        <v>692</v>
      </c>
      <c r="E11" s="186" t="s">
        <v>140</v>
      </c>
      <c r="F11" s="187">
        <v>184.91</v>
      </c>
      <c r="H11" s="164"/>
    </row>
    <row r="12" spans="2:8" s="163" customFormat="1" ht="16.95" customHeight="1" x14ac:dyDescent="0.25">
      <c r="B12" s="164"/>
      <c r="C12" s="188" t="s">
        <v>725</v>
      </c>
      <c r="D12" s="188" t="s">
        <v>1620</v>
      </c>
      <c r="E12" s="157" t="s">
        <v>725</v>
      </c>
      <c r="F12" s="189">
        <v>184.91</v>
      </c>
      <c r="H12" s="164"/>
    </row>
    <row r="13" spans="2:8" s="163" customFormat="1" ht="16.95" customHeight="1" x14ac:dyDescent="0.25">
      <c r="B13" s="164"/>
      <c r="C13" s="190" t="s">
        <v>1621</v>
      </c>
      <c r="H13" s="164"/>
    </row>
    <row r="14" spans="2:8" s="163" customFormat="1" ht="24.6" customHeight="1" x14ac:dyDescent="0.25">
      <c r="B14" s="164"/>
      <c r="C14" s="188" t="s">
        <v>909</v>
      </c>
      <c r="D14" s="188" t="s">
        <v>1622</v>
      </c>
      <c r="E14" s="157" t="s">
        <v>140</v>
      </c>
      <c r="F14" s="189">
        <v>184.91</v>
      </c>
      <c r="H14" s="164"/>
    </row>
    <row r="15" spans="2:8" s="163" customFormat="1" ht="16.95" customHeight="1" x14ac:dyDescent="0.25">
      <c r="B15" s="164"/>
      <c r="C15" s="184" t="s">
        <v>721</v>
      </c>
      <c r="D15" s="185" t="s">
        <v>722</v>
      </c>
      <c r="E15" s="186" t="s">
        <v>15</v>
      </c>
      <c r="F15" s="187">
        <v>33.49</v>
      </c>
      <c r="H15" s="164"/>
    </row>
    <row r="16" spans="2:8" s="163" customFormat="1" ht="16.95" customHeight="1" x14ac:dyDescent="0.25">
      <c r="B16" s="164"/>
      <c r="C16" s="188" t="s">
        <v>725</v>
      </c>
      <c r="D16" s="188" t="s">
        <v>1623</v>
      </c>
      <c r="E16" s="157" t="s">
        <v>725</v>
      </c>
      <c r="F16" s="189">
        <v>33.49</v>
      </c>
      <c r="H16" s="164"/>
    </row>
    <row r="17" spans="2:8" s="163" customFormat="1" ht="16.95" customHeight="1" x14ac:dyDescent="0.25">
      <c r="B17" s="164"/>
      <c r="C17" s="190" t="s">
        <v>1621</v>
      </c>
      <c r="H17" s="164"/>
    </row>
    <row r="18" spans="2:8" s="163" customFormat="1" ht="16.95" customHeight="1" x14ac:dyDescent="0.25">
      <c r="B18" s="164"/>
      <c r="C18" s="188" t="s">
        <v>878</v>
      </c>
      <c r="D18" s="188" t="s">
        <v>1624</v>
      </c>
      <c r="E18" s="157" t="s">
        <v>15</v>
      </c>
      <c r="F18" s="189">
        <v>2918.4650000000001</v>
      </c>
      <c r="H18" s="164"/>
    </row>
    <row r="19" spans="2:8" s="163" customFormat="1" ht="16.95" customHeight="1" x14ac:dyDescent="0.25">
      <c r="B19" s="164"/>
      <c r="C19" s="188" t="s">
        <v>1043</v>
      </c>
      <c r="D19" s="188" t="s">
        <v>1625</v>
      </c>
      <c r="E19" s="157" t="s">
        <v>15</v>
      </c>
      <c r="F19" s="189">
        <v>33.49</v>
      </c>
      <c r="H19" s="164"/>
    </row>
    <row r="20" spans="2:8" s="163" customFormat="1" ht="16.95" customHeight="1" x14ac:dyDescent="0.25">
      <c r="B20" s="164"/>
      <c r="C20" s="188" t="s">
        <v>1047</v>
      </c>
      <c r="D20" s="188" t="s">
        <v>1626</v>
      </c>
      <c r="E20" s="157" t="s">
        <v>15</v>
      </c>
      <c r="F20" s="189">
        <v>33.49</v>
      </c>
      <c r="H20" s="164"/>
    </row>
    <row r="21" spans="2:8" s="163" customFormat="1" ht="16.95" customHeight="1" x14ac:dyDescent="0.25">
      <c r="B21" s="164"/>
      <c r="C21" s="188" t="s">
        <v>1059</v>
      </c>
      <c r="D21" s="188" t="s">
        <v>1627</v>
      </c>
      <c r="E21" s="157" t="s">
        <v>15</v>
      </c>
      <c r="F21" s="189">
        <v>33.49</v>
      </c>
      <c r="H21" s="164"/>
    </row>
    <row r="22" spans="2:8" s="163" customFormat="1" ht="16.95" customHeight="1" x14ac:dyDescent="0.25">
      <c r="B22" s="164"/>
      <c r="C22" s="188" t="s">
        <v>1067</v>
      </c>
      <c r="D22" s="188" t="s">
        <v>1628</v>
      </c>
      <c r="E22" s="157" t="s">
        <v>15</v>
      </c>
      <c r="F22" s="189">
        <v>118.62</v>
      </c>
      <c r="H22" s="164"/>
    </row>
    <row r="23" spans="2:8" s="163" customFormat="1" ht="16.95" customHeight="1" x14ac:dyDescent="0.25">
      <c r="B23" s="164"/>
      <c r="C23" s="188" t="s">
        <v>1071</v>
      </c>
      <c r="D23" s="188" t="s">
        <v>1629</v>
      </c>
      <c r="E23" s="157" t="s">
        <v>15</v>
      </c>
      <c r="F23" s="189">
        <v>152.11000000000001</v>
      </c>
      <c r="H23" s="164"/>
    </row>
    <row r="24" spans="2:8" s="163" customFormat="1" ht="16.95" customHeight="1" x14ac:dyDescent="0.25">
      <c r="B24" s="164"/>
      <c r="C24" s="188" t="s">
        <v>1076</v>
      </c>
      <c r="D24" s="188" t="s">
        <v>1630</v>
      </c>
      <c r="E24" s="157" t="s">
        <v>15</v>
      </c>
      <c r="F24" s="189">
        <v>118.62</v>
      </c>
      <c r="H24" s="164"/>
    </row>
    <row r="25" spans="2:8" s="163" customFormat="1" ht="16.95" customHeight="1" x14ac:dyDescent="0.25">
      <c r="B25" s="164"/>
      <c r="C25" s="188" t="s">
        <v>1080</v>
      </c>
      <c r="D25" s="188" t="s">
        <v>1631</v>
      </c>
      <c r="E25" s="157" t="s">
        <v>15</v>
      </c>
      <c r="F25" s="189">
        <v>118.62</v>
      </c>
      <c r="H25" s="164"/>
    </row>
    <row r="26" spans="2:8" s="163" customFormat="1" ht="16.95" customHeight="1" x14ac:dyDescent="0.25">
      <c r="B26" s="164"/>
      <c r="C26" s="188" t="s">
        <v>1486</v>
      </c>
      <c r="D26" s="188" t="s">
        <v>1632</v>
      </c>
      <c r="E26" s="157" t="s">
        <v>15</v>
      </c>
      <c r="F26" s="189">
        <v>2937.0749999999998</v>
      </c>
      <c r="H26" s="164"/>
    </row>
    <row r="27" spans="2:8" s="163" customFormat="1" ht="16.95" customHeight="1" x14ac:dyDescent="0.25">
      <c r="B27" s="164"/>
      <c r="C27" s="188" t="s">
        <v>1519</v>
      </c>
      <c r="D27" s="188" t="s">
        <v>1633</v>
      </c>
      <c r="E27" s="157" t="s">
        <v>15</v>
      </c>
      <c r="F27" s="189">
        <v>3114.4549999999999</v>
      </c>
      <c r="H27" s="164"/>
    </row>
    <row r="28" spans="2:8" s="163" customFormat="1" ht="16.95" customHeight="1" x14ac:dyDescent="0.25">
      <c r="B28" s="164"/>
      <c r="C28" s="184" t="s">
        <v>718</v>
      </c>
      <c r="D28" s="185" t="s">
        <v>719</v>
      </c>
      <c r="E28" s="186" t="s">
        <v>15</v>
      </c>
      <c r="F28" s="187">
        <v>85.13</v>
      </c>
      <c r="H28" s="164"/>
    </row>
    <row r="29" spans="2:8" s="163" customFormat="1" ht="16.95" customHeight="1" x14ac:dyDescent="0.25">
      <c r="B29" s="164"/>
      <c r="C29" s="188" t="s">
        <v>725</v>
      </c>
      <c r="D29" s="188" t="s">
        <v>1634</v>
      </c>
      <c r="E29" s="157" t="s">
        <v>725</v>
      </c>
      <c r="F29" s="189">
        <v>85.13</v>
      </c>
      <c r="H29" s="164"/>
    </row>
    <row r="30" spans="2:8" s="163" customFormat="1" ht="16.95" customHeight="1" x14ac:dyDescent="0.25">
      <c r="B30" s="164"/>
      <c r="C30" s="190" t="s">
        <v>1621</v>
      </c>
      <c r="H30" s="164"/>
    </row>
    <row r="31" spans="2:8" s="163" customFormat="1" ht="16.95" customHeight="1" x14ac:dyDescent="0.25">
      <c r="B31" s="164"/>
      <c r="C31" s="188" t="s">
        <v>1067</v>
      </c>
      <c r="D31" s="188" t="s">
        <v>1628</v>
      </c>
      <c r="E31" s="157" t="s">
        <v>15</v>
      </c>
      <c r="F31" s="189">
        <v>118.62</v>
      </c>
      <c r="H31" s="164"/>
    </row>
    <row r="32" spans="2:8" s="163" customFormat="1" ht="16.95" customHeight="1" x14ac:dyDescent="0.25">
      <c r="B32" s="164"/>
      <c r="C32" s="188" t="s">
        <v>1071</v>
      </c>
      <c r="D32" s="188" t="s">
        <v>1629</v>
      </c>
      <c r="E32" s="157" t="s">
        <v>15</v>
      </c>
      <c r="F32" s="189">
        <v>152.11000000000001</v>
      </c>
      <c r="H32" s="164"/>
    </row>
    <row r="33" spans="2:8" s="163" customFormat="1" ht="16.95" customHeight="1" x14ac:dyDescent="0.25">
      <c r="B33" s="164"/>
      <c r="C33" s="188" t="s">
        <v>1076</v>
      </c>
      <c r="D33" s="188" t="s">
        <v>1630</v>
      </c>
      <c r="E33" s="157" t="s">
        <v>15</v>
      </c>
      <c r="F33" s="189">
        <v>118.62</v>
      </c>
      <c r="H33" s="164"/>
    </row>
    <row r="34" spans="2:8" s="163" customFormat="1" ht="16.95" customHeight="1" x14ac:dyDescent="0.25">
      <c r="B34" s="164"/>
      <c r="C34" s="188" t="s">
        <v>1080</v>
      </c>
      <c r="D34" s="188" t="s">
        <v>1631</v>
      </c>
      <c r="E34" s="157" t="s">
        <v>15</v>
      </c>
      <c r="F34" s="189">
        <v>118.62</v>
      </c>
      <c r="H34" s="164"/>
    </row>
    <row r="35" spans="2:8" s="163" customFormat="1" ht="16.95" customHeight="1" x14ac:dyDescent="0.25">
      <c r="B35" s="164"/>
      <c r="C35" s="188" t="s">
        <v>1481</v>
      </c>
      <c r="D35" s="188" t="s">
        <v>1635</v>
      </c>
      <c r="E35" s="157" t="s">
        <v>15</v>
      </c>
      <c r="F35" s="189">
        <v>85.13</v>
      </c>
      <c r="H35" s="164"/>
    </row>
    <row r="36" spans="2:8" s="163" customFormat="1" ht="16.95" customHeight="1" x14ac:dyDescent="0.25">
      <c r="B36" s="164"/>
      <c r="C36" s="188" t="s">
        <v>1519</v>
      </c>
      <c r="D36" s="188" t="s">
        <v>1633</v>
      </c>
      <c r="E36" s="157" t="s">
        <v>15</v>
      </c>
      <c r="F36" s="189">
        <v>3114.4549999999999</v>
      </c>
      <c r="H36" s="164"/>
    </row>
    <row r="37" spans="2:8" s="163" customFormat="1" ht="16.95" customHeight="1" x14ac:dyDescent="0.25">
      <c r="B37" s="164"/>
      <c r="C37" s="184" t="s">
        <v>775</v>
      </c>
      <c r="D37" s="185" t="s">
        <v>776</v>
      </c>
      <c r="E37" s="186" t="s">
        <v>15</v>
      </c>
      <c r="F37" s="187">
        <v>39.49</v>
      </c>
      <c r="H37" s="164"/>
    </row>
    <row r="38" spans="2:8" s="163" customFormat="1" ht="16.95" customHeight="1" x14ac:dyDescent="0.25">
      <c r="B38" s="164"/>
      <c r="C38" s="188" t="s">
        <v>725</v>
      </c>
      <c r="D38" s="188" t="s">
        <v>1636</v>
      </c>
      <c r="E38" s="157" t="s">
        <v>725</v>
      </c>
      <c r="F38" s="189">
        <v>39.49</v>
      </c>
      <c r="H38" s="164"/>
    </row>
    <row r="39" spans="2:8" s="163" customFormat="1" ht="16.95" customHeight="1" x14ac:dyDescent="0.25">
      <c r="B39" s="164"/>
      <c r="C39" s="190" t="s">
        <v>1621</v>
      </c>
      <c r="H39" s="164"/>
    </row>
    <row r="40" spans="2:8" s="163" customFormat="1" ht="16.95" customHeight="1" x14ac:dyDescent="0.25">
      <c r="B40" s="164"/>
      <c r="C40" s="188" t="s">
        <v>878</v>
      </c>
      <c r="D40" s="188" t="s">
        <v>1624</v>
      </c>
      <c r="E40" s="157" t="s">
        <v>15</v>
      </c>
      <c r="F40" s="189">
        <v>2918.4650000000001</v>
      </c>
      <c r="H40" s="164"/>
    </row>
    <row r="41" spans="2:8" s="163" customFormat="1" ht="16.95" customHeight="1" x14ac:dyDescent="0.25">
      <c r="B41" s="164"/>
      <c r="C41" s="188" t="s">
        <v>1031</v>
      </c>
      <c r="D41" s="188" t="s">
        <v>1637</v>
      </c>
      <c r="E41" s="157" t="s">
        <v>15</v>
      </c>
      <c r="F41" s="189">
        <v>724.48500000000001</v>
      </c>
      <c r="H41" s="164"/>
    </row>
    <row r="42" spans="2:8" s="163" customFormat="1" ht="16.95" customHeight="1" x14ac:dyDescent="0.25">
      <c r="B42" s="164"/>
      <c r="C42" s="188" t="s">
        <v>1055</v>
      </c>
      <c r="D42" s="188" t="s">
        <v>1638</v>
      </c>
      <c r="E42" s="157" t="s">
        <v>15</v>
      </c>
      <c r="F42" s="189">
        <v>39.49</v>
      </c>
      <c r="H42" s="164"/>
    </row>
    <row r="43" spans="2:8" s="163" customFormat="1" ht="16.95" customHeight="1" x14ac:dyDescent="0.25">
      <c r="B43" s="164"/>
      <c r="C43" s="188" t="s">
        <v>1173</v>
      </c>
      <c r="D43" s="188" t="s">
        <v>1639</v>
      </c>
      <c r="E43" s="157" t="s">
        <v>2</v>
      </c>
      <c r="F43" s="189">
        <v>10.86</v>
      </c>
      <c r="H43" s="164"/>
    </row>
    <row r="44" spans="2:8" s="163" customFormat="1" ht="16.95" customHeight="1" x14ac:dyDescent="0.25">
      <c r="B44" s="164"/>
      <c r="C44" s="188" t="s">
        <v>1486</v>
      </c>
      <c r="D44" s="188" t="s">
        <v>1632</v>
      </c>
      <c r="E44" s="157" t="s">
        <v>15</v>
      </c>
      <c r="F44" s="189">
        <v>2937.0749999999998</v>
      </c>
      <c r="H44" s="164"/>
    </row>
    <row r="45" spans="2:8" s="163" customFormat="1" ht="16.95" customHeight="1" x14ac:dyDescent="0.25">
      <c r="B45" s="164"/>
      <c r="C45" s="188" t="s">
        <v>1519</v>
      </c>
      <c r="D45" s="188" t="s">
        <v>1633</v>
      </c>
      <c r="E45" s="157" t="s">
        <v>15</v>
      </c>
      <c r="F45" s="189">
        <v>3114.4549999999999</v>
      </c>
      <c r="H45" s="164"/>
    </row>
    <row r="46" spans="2:8" s="163" customFormat="1" ht="16.95" customHeight="1" x14ac:dyDescent="0.25">
      <c r="B46" s="164"/>
      <c r="C46" s="184" t="s">
        <v>779</v>
      </c>
      <c r="D46" s="185" t="s">
        <v>780</v>
      </c>
      <c r="E46" s="186" t="s">
        <v>15</v>
      </c>
      <c r="F46" s="187">
        <v>21.36</v>
      </c>
      <c r="H46" s="164"/>
    </row>
    <row r="47" spans="2:8" s="163" customFormat="1" ht="16.95" customHeight="1" x14ac:dyDescent="0.25">
      <c r="B47" s="164"/>
      <c r="C47" s="188" t="s">
        <v>725</v>
      </c>
      <c r="D47" s="188" t="s">
        <v>1640</v>
      </c>
      <c r="E47" s="157" t="s">
        <v>725</v>
      </c>
      <c r="F47" s="189">
        <v>21.36</v>
      </c>
      <c r="H47" s="164"/>
    </row>
    <row r="48" spans="2:8" s="163" customFormat="1" ht="16.95" customHeight="1" x14ac:dyDescent="0.25">
      <c r="B48" s="164"/>
      <c r="C48" s="190" t="s">
        <v>1621</v>
      </c>
      <c r="H48" s="164"/>
    </row>
    <row r="49" spans="2:8" s="163" customFormat="1" ht="16.95" customHeight="1" x14ac:dyDescent="0.25">
      <c r="B49" s="164"/>
      <c r="C49" s="188" t="s">
        <v>878</v>
      </c>
      <c r="D49" s="188" t="s">
        <v>1624</v>
      </c>
      <c r="E49" s="157" t="s">
        <v>15</v>
      </c>
      <c r="F49" s="189">
        <v>2918.4650000000001</v>
      </c>
      <c r="H49" s="164"/>
    </row>
    <row r="50" spans="2:8" s="163" customFormat="1" ht="16.95" customHeight="1" x14ac:dyDescent="0.25">
      <c r="B50" s="164"/>
      <c r="C50" s="188" t="s">
        <v>1019</v>
      </c>
      <c r="D50" s="188" t="s">
        <v>1641</v>
      </c>
      <c r="E50" s="157" t="s">
        <v>15</v>
      </c>
      <c r="F50" s="189">
        <v>21.36</v>
      </c>
      <c r="H50" s="164"/>
    </row>
    <row r="51" spans="2:8" s="163" customFormat="1" ht="16.95" customHeight="1" x14ac:dyDescent="0.25">
      <c r="B51" s="164"/>
      <c r="C51" s="188" t="s">
        <v>1031</v>
      </c>
      <c r="D51" s="188" t="s">
        <v>1637</v>
      </c>
      <c r="E51" s="157" t="s">
        <v>15</v>
      </c>
      <c r="F51" s="189">
        <v>724.48500000000001</v>
      </c>
      <c r="H51" s="164"/>
    </row>
    <row r="52" spans="2:8" s="163" customFormat="1" ht="16.95" customHeight="1" x14ac:dyDescent="0.25">
      <c r="B52" s="164"/>
      <c r="C52" s="188" t="s">
        <v>1035</v>
      </c>
      <c r="D52" s="188" t="s">
        <v>1642</v>
      </c>
      <c r="E52" s="157" t="s">
        <v>15</v>
      </c>
      <c r="F52" s="189">
        <v>21.36</v>
      </c>
      <c r="H52" s="164"/>
    </row>
    <row r="53" spans="2:8" s="163" customFormat="1" ht="16.95" customHeight="1" x14ac:dyDescent="0.25">
      <c r="B53" s="164"/>
      <c r="C53" s="188" t="s">
        <v>1486</v>
      </c>
      <c r="D53" s="188" t="s">
        <v>1632</v>
      </c>
      <c r="E53" s="157" t="s">
        <v>15</v>
      </c>
      <c r="F53" s="189">
        <v>2937.0749999999998</v>
      </c>
      <c r="H53" s="164"/>
    </row>
    <row r="54" spans="2:8" s="163" customFormat="1" ht="16.95" customHeight="1" x14ac:dyDescent="0.25">
      <c r="B54" s="164"/>
      <c r="C54" s="188" t="s">
        <v>1519</v>
      </c>
      <c r="D54" s="188" t="s">
        <v>1633</v>
      </c>
      <c r="E54" s="157" t="s">
        <v>15</v>
      </c>
      <c r="F54" s="189">
        <v>3114.4549999999999</v>
      </c>
      <c r="H54" s="164"/>
    </row>
    <row r="55" spans="2:8" s="163" customFormat="1" ht="16.95" customHeight="1" x14ac:dyDescent="0.25">
      <c r="B55" s="164"/>
      <c r="C55" s="184" t="s">
        <v>782</v>
      </c>
      <c r="D55" s="185" t="s">
        <v>783</v>
      </c>
      <c r="E55" s="186" t="s">
        <v>15</v>
      </c>
      <c r="F55" s="187">
        <v>8.18</v>
      </c>
      <c r="H55" s="164"/>
    </row>
    <row r="56" spans="2:8" s="163" customFormat="1" ht="16.95" customHeight="1" x14ac:dyDescent="0.25">
      <c r="B56" s="164"/>
      <c r="C56" s="188" t="s">
        <v>725</v>
      </c>
      <c r="D56" s="188" t="s">
        <v>1643</v>
      </c>
      <c r="E56" s="157" t="s">
        <v>725</v>
      </c>
      <c r="F56" s="189">
        <v>8.18</v>
      </c>
      <c r="H56" s="164"/>
    </row>
    <row r="57" spans="2:8" s="163" customFormat="1" ht="16.95" customHeight="1" x14ac:dyDescent="0.25">
      <c r="B57" s="164"/>
      <c r="C57" s="190" t="s">
        <v>1621</v>
      </c>
      <c r="H57" s="164"/>
    </row>
    <row r="58" spans="2:8" s="163" customFormat="1" ht="16.95" customHeight="1" x14ac:dyDescent="0.25">
      <c r="B58" s="164"/>
      <c r="C58" s="188" t="s">
        <v>878</v>
      </c>
      <c r="D58" s="188" t="s">
        <v>1624</v>
      </c>
      <c r="E58" s="157" t="s">
        <v>15</v>
      </c>
      <c r="F58" s="189">
        <v>2918.4650000000001</v>
      </c>
      <c r="H58" s="164"/>
    </row>
    <row r="59" spans="2:8" s="163" customFormat="1" ht="16.95" customHeight="1" x14ac:dyDescent="0.25">
      <c r="B59" s="164"/>
      <c r="C59" s="188" t="s">
        <v>1031</v>
      </c>
      <c r="D59" s="188" t="s">
        <v>1637</v>
      </c>
      <c r="E59" s="157" t="s">
        <v>15</v>
      </c>
      <c r="F59" s="189">
        <v>724.48500000000001</v>
      </c>
      <c r="H59" s="164"/>
    </row>
    <row r="60" spans="2:8" s="163" customFormat="1" ht="16.95" customHeight="1" x14ac:dyDescent="0.25">
      <c r="B60" s="164"/>
      <c r="C60" s="188" t="s">
        <v>1103</v>
      </c>
      <c r="D60" s="188" t="s">
        <v>1644</v>
      </c>
      <c r="E60" s="157" t="s">
        <v>15</v>
      </c>
      <c r="F60" s="189">
        <v>160.44999999999999</v>
      </c>
      <c r="H60" s="164"/>
    </row>
    <row r="61" spans="2:8" s="163" customFormat="1" ht="16.95" customHeight="1" x14ac:dyDescent="0.25">
      <c r="B61" s="164"/>
      <c r="C61" s="188" t="s">
        <v>1168</v>
      </c>
      <c r="D61" s="188" t="s">
        <v>1645</v>
      </c>
      <c r="E61" s="157" t="s">
        <v>15</v>
      </c>
      <c r="F61" s="189">
        <v>160.44999999999999</v>
      </c>
      <c r="H61" s="164"/>
    </row>
    <row r="62" spans="2:8" s="163" customFormat="1" ht="16.95" customHeight="1" x14ac:dyDescent="0.25">
      <c r="B62" s="164"/>
      <c r="C62" s="188" t="s">
        <v>1486</v>
      </c>
      <c r="D62" s="188" t="s">
        <v>1632</v>
      </c>
      <c r="E62" s="157" t="s">
        <v>15</v>
      </c>
      <c r="F62" s="189">
        <v>2937.0749999999998</v>
      </c>
      <c r="H62" s="164"/>
    </row>
    <row r="63" spans="2:8" s="163" customFormat="1" ht="16.95" customHeight="1" x14ac:dyDescent="0.25">
      <c r="B63" s="164"/>
      <c r="C63" s="188" t="s">
        <v>1519</v>
      </c>
      <c r="D63" s="188" t="s">
        <v>1633</v>
      </c>
      <c r="E63" s="157" t="s">
        <v>15</v>
      </c>
      <c r="F63" s="189">
        <v>3114.4549999999999</v>
      </c>
      <c r="H63" s="164"/>
    </row>
    <row r="64" spans="2:8" s="163" customFormat="1" ht="16.95" customHeight="1" x14ac:dyDescent="0.25">
      <c r="B64" s="164"/>
      <c r="C64" s="184" t="s">
        <v>786</v>
      </c>
      <c r="D64" s="185" t="s">
        <v>787</v>
      </c>
      <c r="E64" s="186" t="s">
        <v>15</v>
      </c>
      <c r="F64" s="187">
        <v>10.43</v>
      </c>
      <c r="H64" s="164"/>
    </row>
    <row r="65" spans="2:8" s="163" customFormat="1" ht="16.95" customHeight="1" x14ac:dyDescent="0.25">
      <c r="B65" s="164"/>
      <c r="C65" s="188" t="s">
        <v>725</v>
      </c>
      <c r="D65" s="188" t="s">
        <v>1646</v>
      </c>
      <c r="E65" s="157" t="s">
        <v>725</v>
      </c>
      <c r="F65" s="189">
        <v>10.43</v>
      </c>
      <c r="H65" s="164"/>
    </row>
    <row r="66" spans="2:8" s="163" customFormat="1" ht="16.95" customHeight="1" x14ac:dyDescent="0.25">
      <c r="B66" s="164"/>
      <c r="C66" s="190" t="s">
        <v>1621</v>
      </c>
      <c r="H66" s="164"/>
    </row>
    <row r="67" spans="2:8" s="163" customFormat="1" ht="16.95" customHeight="1" x14ac:dyDescent="0.25">
      <c r="B67" s="164"/>
      <c r="C67" s="188" t="s">
        <v>878</v>
      </c>
      <c r="D67" s="188" t="s">
        <v>1624</v>
      </c>
      <c r="E67" s="157" t="s">
        <v>15</v>
      </c>
      <c r="F67" s="189">
        <v>2918.4650000000001</v>
      </c>
      <c r="H67" s="164"/>
    </row>
    <row r="68" spans="2:8" s="163" customFormat="1" ht="16.95" customHeight="1" x14ac:dyDescent="0.25">
      <c r="B68" s="164"/>
      <c r="C68" s="188" t="s">
        <v>1039</v>
      </c>
      <c r="D68" s="188" t="s">
        <v>657</v>
      </c>
      <c r="E68" s="157" t="s">
        <v>15</v>
      </c>
      <c r="F68" s="189">
        <v>469.92</v>
      </c>
      <c r="H68" s="164"/>
    </row>
    <row r="69" spans="2:8" s="163" customFormat="1" ht="16.95" customHeight="1" x14ac:dyDescent="0.25">
      <c r="B69" s="164"/>
      <c r="C69" s="188" t="s">
        <v>1063</v>
      </c>
      <c r="D69" s="188" t="s">
        <v>656</v>
      </c>
      <c r="E69" s="157" t="s">
        <v>15</v>
      </c>
      <c r="F69" s="189">
        <v>610.44500000000005</v>
      </c>
      <c r="H69" s="164"/>
    </row>
    <row r="70" spans="2:8" s="163" customFormat="1" ht="16.95" customHeight="1" x14ac:dyDescent="0.25">
      <c r="B70" s="164"/>
      <c r="C70" s="188" t="s">
        <v>1334</v>
      </c>
      <c r="D70" s="188" t="s">
        <v>1647</v>
      </c>
      <c r="E70" s="157" t="s">
        <v>140</v>
      </c>
      <c r="F70" s="189">
        <v>244.63900000000001</v>
      </c>
      <c r="H70" s="164"/>
    </row>
    <row r="71" spans="2:8" s="163" customFormat="1" ht="16.95" customHeight="1" x14ac:dyDescent="0.25">
      <c r="B71" s="164"/>
      <c r="C71" s="188" t="s">
        <v>1486</v>
      </c>
      <c r="D71" s="188" t="s">
        <v>1632</v>
      </c>
      <c r="E71" s="157" t="s">
        <v>15</v>
      </c>
      <c r="F71" s="189">
        <v>2937.0749999999998</v>
      </c>
      <c r="H71" s="164"/>
    </row>
    <row r="72" spans="2:8" s="163" customFormat="1" ht="16.95" customHeight="1" x14ac:dyDescent="0.25">
      <c r="B72" s="164"/>
      <c r="C72" s="188" t="s">
        <v>1519</v>
      </c>
      <c r="D72" s="188" t="s">
        <v>1633</v>
      </c>
      <c r="E72" s="157" t="s">
        <v>15</v>
      </c>
      <c r="F72" s="189">
        <v>3114.4549999999999</v>
      </c>
      <c r="H72" s="164"/>
    </row>
    <row r="73" spans="2:8" s="163" customFormat="1" ht="16.95" customHeight="1" x14ac:dyDescent="0.25">
      <c r="B73" s="164"/>
      <c r="C73" s="188" t="s">
        <v>1354</v>
      </c>
      <c r="D73" s="188" t="s">
        <v>1355</v>
      </c>
      <c r="E73" s="157" t="s">
        <v>15</v>
      </c>
      <c r="F73" s="189">
        <v>43.311999999999998</v>
      </c>
      <c r="H73" s="164"/>
    </row>
    <row r="74" spans="2:8" s="163" customFormat="1" ht="16.95" customHeight="1" x14ac:dyDescent="0.25">
      <c r="B74" s="164"/>
      <c r="C74" s="184" t="s">
        <v>714</v>
      </c>
      <c r="D74" s="185" t="s">
        <v>715</v>
      </c>
      <c r="E74" s="186" t="s">
        <v>15</v>
      </c>
      <c r="F74" s="187">
        <v>368.67</v>
      </c>
      <c r="H74" s="164"/>
    </row>
    <row r="75" spans="2:8" s="163" customFormat="1" ht="16.95" customHeight="1" x14ac:dyDescent="0.25">
      <c r="B75" s="164"/>
      <c r="C75" s="188" t="s">
        <v>725</v>
      </c>
      <c r="D75" s="188" t="s">
        <v>1648</v>
      </c>
      <c r="E75" s="157" t="s">
        <v>725</v>
      </c>
      <c r="F75" s="189">
        <v>368.67</v>
      </c>
      <c r="H75" s="164"/>
    </row>
    <row r="76" spans="2:8" s="163" customFormat="1" ht="16.95" customHeight="1" x14ac:dyDescent="0.25">
      <c r="B76" s="164"/>
      <c r="C76" s="190" t="s">
        <v>1621</v>
      </c>
      <c r="H76" s="164"/>
    </row>
    <row r="77" spans="2:8" s="163" customFormat="1" ht="16.95" customHeight="1" x14ac:dyDescent="0.25">
      <c r="B77" s="164"/>
      <c r="C77" s="188" t="s">
        <v>878</v>
      </c>
      <c r="D77" s="188" t="s">
        <v>1624</v>
      </c>
      <c r="E77" s="157" t="s">
        <v>15</v>
      </c>
      <c r="F77" s="189">
        <v>2918.4650000000001</v>
      </c>
      <c r="H77" s="164"/>
    </row>
    <row r="78" spans="2:8" s="163" customFormat="1" ht="16.95" customHeight="1" x14ac:dyDescent="0.25">
      <c r="B78" s="164"/>
      <c r="C78" s="188" t="s">
        <v>1039</v>
      </c>
      <c r="D78" s="188" t="s">
        <v>657</v>
      </c>
      <c r="E78" s="157" t="s">
        <v>15</v>
      </c>
      <c r="F78" s="189">
        <v>469.92</v>
      </c>
      <c r="H78" s="164"/>
    </row>
    <row r="79" spans="2:8" s="163" customFormat="1" ht="16.95" customHeight="1" x14ac:dyDescent="0.25">
      <c r="B79" s="164"/>
      <c r="C79" s="188" t="s">
        <v>1063</v>
      </c>
      <c r="D79" s="188" t="s">
        <v>656</v>
      </c>
      <c r="E79" s="157" t="s">
        <v>15</v>
      </c>
      <c r="F79" s="189">
        <v>610.44500000000005</v>
      </c>
      <c r="H79" s="164"/>
    </row>
    <row r="80" spans="2:8" s="163" customFormat="1" ht="16.95" customHeight="1" x14ac:dyDescent="0.25">
      <c r="B80" s="164"/>
      <c r="C80" s="188" t="s">
        <v>1149</v>
      </c>
      <c r="D80" s="188" t="s">
        <v>1649</v>
      </c>
      <c r="E80" s="157" t="s">
        <v>15</v>
      </c>
      <c r="F80" s="189">
        <v>1489.78</v>
      </c>
      <c r="H80" s="164"/>
    </row>
    <row r="81" spans="2:8" s="163" customFormat="1" ht="16.95" customHeight="1" x14ac:dyDescent="0.25">
      <c r="B81" s="164"/>
      <c r="C81" s="188" t="s">
        <v>1486</v>
      </c>
      <c r="D81" s="188" t="s">
        <v>1632</v>
      </c>
      <c r="E81" s="157" t="s">
        <v>15</v>
      </c>
      <c r="F81" s="189">
        <v>2937.0749999999998</v>
      </c>
      <c r="H81" s="164"/>
    </row>
    <row r="82" spans="2:8" s="163" customFormat="1" ht="16.95" customHeight="1" x14ac:dyDescent="0.25">
      <c r="B82" s="164"/>
      <c r="C82" s="188" t="s">
        <v>1519</v>
      </c>
      <c r="D82" s="188" t="s">
        <v>1633</v>
      </c>
      <c r="E82" s="157" t="s">
        <v>15</v>
      </c>
      <c r="F82" s="189">
        <v>3114.4549999999999</v>
      </c>
      <c r="H82" s="164"/>
    </row>
    <row r="83" spans="2:8" s="163" customFormat="1" ht="16.95" customHeight="1" x14ac:dyDescent="0.25">
      <c r="B83" s="164"/>
      <c r="C83" s="188" t="s">
        <v>1153</v>
      </c>
      <c r="D83" s="188" t="s">
        <v>1154</v>
      </c>
      <c r="E83" s="157" t="s">
        <v>15</v>
      </c>
      <c r="F83" s="189">
        <v>1523.9259999999999</v>
      </c>
      <c r="H83" s="164"/>
    </row>
    <row r="84" spans="2:8" s="163" customFormat="1" ht="16.95" customHeight="1" x14ac:dyDescent="0.25">
      <c r="B84" s="164"/>
      <c r="C84" s="184" t="s">
        <v>790</v>
      </c>
      <c r="D84" s="185" t="s">
        <v>791</v>
      </c>
      <c r="E84" s="186" t="s">
        <v>15</v>
      </c>
      <c r="F84" s="187">
        <v>2.4500000000000002</v>
      </c>
      <c r="H84" s="164"/>
    </row>
    <row r="85" spans="2:8" s="163" customFormat="1" ht="16.95" customHeight="1" x14ac:dyDescent="0.25">
      <c r="B85" s="164"/>
      <c r="C85" s="188" t="s">
        <v>725</v>
      </c>
      <c r="D85" s="188" t="s">
        <v>1650</v>
      </c>
      <c r="E85" s="157" t="s">
        <v>725</v>
      </c>
      <c r="F85" s="189">
        <v>2.4500000000000002</v>
      </c>
      <c r="H85" s="164"/>
    </row>
    <row r="86" spans="2:8" s="163" customFormat="1" ht="16.95" customHeight="1" x14ac:dyDescent="0.25">
      <c r="B86" s="164"/>
      <c r="C86" s="190" t="s">
        <v>1621</v>
      </c>
      <c r="H86" s="164"/>
    </row>
    <row r="87" spans="2:8" s="163" customFormat="1" ht="16.95" customHeight="1" x14ac:dyDescent="0.25">
      <c r="B87" s="164"/>
      <c r="C87" s="188" t="s">
        <v>878</v>
      </c>
      <c r="D87" s="188" t="s">
        <v>1624</v>
      </c>
      <c r="E87" s="157" t="s">
        <v>15</v>
      </c>
      <c r="F87" s="189">
        <v>2918.4650000000001</v>
      </c>
      <c r="H87" s="164"/>
    </row>
    <row r="88" spans="2:8" s="163" customFormat="1" ht="16.95" customHeight="1" x14ac:dyDescent="0.25">
      <c r="B88" s="164"/>
      <c r="C88" s="188" t="s">
        <v>1039</v>
      </c>
      <c r="D88" s="188" t="s">
        <v>657</v>
      </c>
      <c r="E88" s="157" t="s">
        <v>15</v>
      </c>
      <c r="F88" s="189">
        <v>469.92</v>
      </c>
      <c r="H88" s="164"/>
    </row>
    <row r="89" spans="2:8" s="163" customFormat="1" ht="16.95" customHeight="1" x14ac:dyDescent="0.25">
      <c r="B89" s="164"/>
      <c r="C89" s="188" t="s">
        <v>1063</v>
      </c>
      <c r="D89" s="188" t="s">
        <v>656</v>
      </c>
      <c r="E89" s="157" t="s">
        <v>15</v>
      </c>
      <c r="F89" s="189">
        <v>610.44500000000005</v>
      </c>
      <c r="H89" s="164"/>
    </row>
    <row r="90" spans="2:8" s="163" customFormat="1" ht="16.95" customHeight="1" x14ac:dyDescent="0.25">
      <c r="B90" s="164"/>
      <c r="C90" s="188" t="s">
        <v>1334</v>
      </c>
      <c r="D90" s="188" t="s">
        <v>1647</v>
      </c>
      <c r="E90" s="157" t="s">
        <v>140</v>
      </c>
      <c r="F90" s="189">
        <v>244.63900000000001</v>
      </c>
      <c r="H90" s="164"/>
    </row>
    <row r="91" spans="2:8" s="163" customFormat="1" ht="16.95" customHeight="1" x14ac:dyDescent="0.25">
      <c r="B91" s="164"/>
      <c r="C91" s="188" t="s">
        <v>1486</v>
      </c>
      <c r="D91" s="188" t="s">
        <v>1632</v>
      </c>
      <c r="E91" s="157" t="s">
        <v>15</v>
      </c>
      <c r="F91" s="189">
        <v>2937.0749999999998</v>
      </c>
      <c r="H91" s="164"/>
    </row>
    <row r="92" spans="2:8" s="163" customFormat="1" ht="16.95" customHeight="1" x14ac:dyDescent="0.25">
      <c r="B92" s="164"/>
      <c r="C92" s="188" t="s">
        <v>1519</v>
      </c>
      <c r="D92" s="188" t="s">
        <v>1633</v>
      </c>
      <c r="E92" s="157" t="s">
        <v>15</v>
      </c>
      <c r="F92" s="189">
        <v>3114.4549999999999</v>
      </c>
      <c r="H92" s="164"/>
    </row>
    <row r="93" spans="2:8" s="163" customFormat="1" ht="16.95" customHeight="1" x14ac:dyDescent="0.25">
      <c r="B93" s="164"/>
      <c r="C93" s="188" t="s">
        <v>1349</v>
      </c>
      <c r="D93" s="188" t="s">
        <v>1350</v>
      </c>
      <c r="E93" s="157" t="s">
        <v>15</v>
      </c>
      <c r="F93" s="189">
        <v>2.524</v>
      </c>
      <c r="H93" s="164"/>
    </row>
    <row r="94" spans="2:8" s="163" customFormat="1" ht="16.95" customHeight="1" x14ac:dyDescent="0.25">
      <c r="B94" s="164"/>
      <c r="C94" s="184" t="s">
        <v>710</v>
      </c>
      <c r="D94" s="185" t="s">
        <v>711</v>
      </c>
      <c r="E94" s="186" t="s">
        <v>15</v>
      </c>
      <c r="F94" s="187">
        <v>63.62</v>
      </c>
      <c r="H94" s="164"/>
    </row>
    <row r="95" spans="2:8" s="163" customFormat="1" ht="16.95" customHeight="1" x14ac:dyDescent="0.25">
      <c r="B95" s="164"/>
      <c r="C95" s="188" t="s">
        <v>725</v>
      </c>
      <c r="D95" s="188" t="s">
        <v>1651</v>
      </c>
      <c r="E95" s="157" t="s">
        <v>725</v>
      </c>
      <c r="F95" s="189">
        <v>63.62</v>
      </c>
      <c r="H95" s="164"/>
    </row>
    <row r="96" spans="2:8" s="163" customFormat="1" ht="16.95" customHeight="1" x14ac:dyDescent="0.25">
      <c r="B96" s="164"/>
      <c r="C96" s="190" t="s">
        <v>1621</v>
      </c>
      <c r="H96" s="164"/>
    </row>
    <row r="97" spans="2:8" s="163" customFormat="1" ht="16.95" customHeight="1" x14ac:dyDescent="0.25">
      <c r="B97" s="164"/>
      <c r="C97" s="188" t="s">
        <v>1039</v>
      </c>
      <c r="D97" s="188" t="s">
        <v>657</v>
      </c>
      <c r="E97" s="157" t="s">
        <v>15</v>
      </c>
      <c r="F97" s="189">
        <v>469.92</v>
      </c>
      <c r="H97" s="164"/>
    </row>
    <row r="98" spans="2:8" s="163" customFormat="1" ht="16.95" customHeight="1" x14ac:dyDescent="0.25">
      <c r="B98" s="164"/>
      <c r="C98" s="188" t="s">
        <v>1051</v>
      </c>
      <c r="D98" s="188" t="s">
        <v>1652</v>
      </c>
      <c r="E98" s="157" t="s">
        <v>15</v>
      </c>
      <c r="F98" s="189">
        <v>110.86</v>
      </c>
      <c r="H98" s="164"/>
    </row>
    <row r="99" spans="2:8" s="163" customFormat="1" ht="16.95" customHeight="1" x14ac:dyDescent="0.25">
      <c r="B99" s="164"/>
      <c r="C99" s="188" t="s">
        <v>1063</v>
      </c>
      <c r="D99" s="188" t="s">
        <v>656</v>
      </c>
      <c r="E99" s="157" t="s">
        <v>15</v>
      </c>
      <c r="F99" s="189">
        <v>610.44500000000005</v>
      </c>
      <c r="H99" s="164"/>
    </row>
    <row r="100" spans="2:8" s="163" customFormat="1" ht="16.95" customHeight="1" x14ac:dyDescent="0.25">
      <c r="B100" s="164"/>
      <c r="C100" s="188" t="s">
        <v>1122</v>
      </c>
      <c r="D100" s="188" t="s">
        <v>655</v>
      </c>
      <c r="E100" s="157" t="s">
        <v>15</v>
      </c>
      <c r="F100" s="189">
        <v>121.645</v>
      </c>
      <c r="H100" s="164"/>
    </row>
    <row r="101" spans="2:8" s="163" customFormat="1" ht="16.95" customHeight="1" x14ac:dyDescent="0.25">
      <c r="B101" s="164"/>
      <c r="C101" s="188" t="s">
        <v>1486</v>
      </c>
      <c r="D101" s="188" t="s">
        <v>1632</v>
      </c>
      <c r="E101" s="157" t="s">
        <v>15</v>
      </c>
      <c r="F101" s="189">
        <v>2937.0749999999998</v>
      </c>
      <c r="H101" s="164"/>
    </row>
    <row r="102" spans="2:8" s="163" customFormat="1" ht="16.95" customHeight="1" x14ac:dyDescent="0.25">
      <c r="B102" s="164"/>
      <c r="C102" s="188" t="s">
        <v>1519</v>
      </c>
      <c r="D102" s="188" t="s">
        <v>1633</v>
      </c>
      <c r="E102" s="157" t="s">
        <v>15</v>
      </c>
      <c r="F102" s="189">
        <v>3114.4549999999999</v>
      </c>
      <c r="H102" s="164"/>
    </row>
    <row r="103" spans="2:8" s="163" customFormat="1" ht="16.95" customHeight="1" x14ac:dyDescent="0.25">
      <c r="B103" s="164"/>
      <c r="C103" s="188" t="s">
        <v>1564</v>
      </c>
      <c r="D103" s="188" t="s">
        <v>1653</v>
      </c>
      <c r="E103" s="157" t="s">
        <v>15</v>
      </c>
      <c r="F103" s="189">
        <v>72.5</v>
      </c>
      <c r="H103" s="164"/>
    </row>
    <row r="104" spans="2:8" s="163" customFormat="1" ht="16.95" customHeight="1" x14ac:dyDescent="0.25">
      <c r="B104" s="164"/>
      <c r="C104" s="184" t="s">
        <v>707</v>
      </c>
      <c r="D104" s="185" t="s">
        <v>708</v>
      </c>
      <c r="E104" s="186" t="s">
        <v>15</v>
      </c>
      <c r="F104" s="187">
        <v>24.75</v>
      </c>
      <c r="H104" s="164"/>
    </row>
    <row r="105" spans="2:8" s="163" customFormat="1" ht="16.95" customHeight="1" x14ac:dyDescent="0.25">
      <c r="B105" s="164"/>
      <c r="C105" s="188" t="s">
        <v>725</v>
      </c>
      <c r="D105" s="188" t="s">
        <v>1654</v>
      </c>
      <c r="E105" s="157" t="s">
        <v>725</v>
      </c>
      <c r="F105" s="189">
        <v>24.75</v>
      </c>
      <c r="H105" s="164"/>
    </row>
    <row r="106" spans="2:8" s="163" customFormat="1" ht="16.95" customHeight="1" x14ac:dyDescent="0.25">
      <c r="B106" s="164"/>
      <c r="C106" s="190" t="s">
        <v>1621</v>
      </c>
      <c r="H106" s="164"/>
    </row>
    <row r="107" spans="2:8" s="163" customFormat="1" ht="16.95" customHeight="1" x14ac:dyDescent="0.25">
      <c r="B107" s="164"/>
      <c r="C107" s="188" t="s">
        <v>878</v>
      </c>
      <c r="D107" s="188" t="s">
        <v>1624</v>
      </c>
      <c r="E107" s="157" t="s">
        <v>15</v>
      </c>
      <c r="F107" s="189">
        <v>2918.4650000000001</v>
      </c>
      <c r="H107" s="164"/>
    </row>
    <row r="108" spans="2:8" s="163" customFormat="1" ht="16.95" customHeight="1" x14ac:dyDescent="0.25">
      <c r="B108" s="164"/>
      <c r="C108" s="188" t="s">
        <v>1039</v>
      </c>
      <c r="D108" s="188" t="s">
        <v>657</v>
      </c>
      <c r="E108" s="157" t="s">
        <v>15</v>
      </c>
      <c r="F108" s="189">
        <v>469.92</v>
      </c>
      <c r="H108" s="164"/>
    </row>
    <row r="109" spans="2:8" s="163" customFormat="1" ht="16.95" customHeight="1" x14ac:dyDescent="0.25">
      <c r="B109" s="164"/>
      <c r="C109" s="188" t="s">
        <v>1063</v>
      </c>
      <c r="D109" s="188" t="s">
        <v>656</v>
      </c>
      <c r="E109" s="157" t="s">
        <v>15</v>
      </c>
      <c r="F109" s="189">
        <v>610.44500000000005</v>
      </c>
      <c r="H109" s="164"/>
    </row>
    <row r="110" spans="2:8" s="163" customFormat="1" ht="16.95" customHeight="1" x14ac:dyDescent="0.25">
      <c r="B110" s="164"/>
      <c r="C110" s="188" t="s">
        <v>1122</v>
      </c>
      <c r="D110" s="188" t="s">
        <v>655</v>
      </c>
      <c r="E110" s="157" t="s">
        <v>15</v>
      </c>
      <c r="F110" s="189">
        <v>121.645</v>
      </c>
      <c r="H110" s="164"/>
    </row>
    <row r="111" spans="2:8" s="163" customFormat="1" ht="16.95" customHeight="1" x14ac:dyDescent="0.25">
      <c r="B111" s="164"/>
      <c r="C111" s="188" t="s">
        <v>1486</v>
      </c>
      <c r="D111" s="188" t="s">
        <v>1632</v>
      </c>
      <c r="E111" s="157" t="s">
        <v>15</v>
      </c>
      <c r="F111" s="189">
        <v>2937.0749999999998</v>
      </c>
      <c r="H111" s="164"/>
    </row>
    <row r="112" spans="2:8" s="163" customFormat="1" ht="16.95" customHeight="1" x14ac:dyDescent="0.25">
      <c r="B112" s="164"/>
      <c r="C112" s="188" t="s">
        <v>1519</v>
      </c>
      <c r="D112" s="188" t="s">
        <v>1633</v>
      </c>
      <c r="E112" s="157" t="s">
        <v>15</v>
      </c>
      <c r="F112" s="189">
        <v>3114.4549999999999</v>
      </c>
      <c r="H112" s="164"/>
    </row>
    <row r="113" spans="2:8" s="163" customFormat="1" ht="16.95" customHeight="1" x14ac:dyDescent="0.25">
      <c r="B113" s="164"/>
      <c r="C113" s="188" t="s">
        <v>1126</v>
      </c>
      <c r="D113" s="188" t="s">
        <v>1127</v>
      </c>
      <c r="E113" s="157" t="s">
        <v>15</v>
      </c>
      <c r="F113" s="189">
        <v>59.765999999999998</v>
      </c>
      <c r="H113" s="164"/>
    </row>
    <row r="114" spans="2:8" s="163" customFormat="1" ht="16.95" customHeight="1" x14ac:dyDescent="0.25">
      <c r="B114" s="164"/>
      <c r="C114" s="184" t="s">
        <v>703</v>
      </c>
      <c r="D114" s="185" t="s">
        <v>704</v>
      </c>
      <c r="E114" s="186" t="s">
        <v>15</v>
      </c>
      <c r="F114" s="187">
        <v>33.274999999999999</v>
      </c>
      <c r="H114" s="164"/>
    </row>
    <row r="115" spans="2:8" s="163" customFormat="1" ht="16.95" customHeight="1" x14ac:dyDescent="0.25">
      <c r="B115" s="164"/>
      <c r="C115" s="188" t="s">
        <v>725</v>
      </c>
      <c r="D115" s="188" t="s">
        <v>1655</v>
      </c>
      <c r="E115" s="157" t="s">
        <v>725</v>
      </c>
      <c r="F115" s="189">
        <v>33.274999999999999</v>
      </c>
      <c r="H115" s="164"/>
    </row>
    <row r="116" spans="2:8" s="163" customFormat="1" ht="16.95" customHeight="1" x14ac:dyDescent="0.25">
      <c r="B116" s="164"/>
      <c r="C116" s="190" t="s">
        <v>1621</v>
      </c>
      <c r="H116" s="164"/>
    </row>
    <row r="117" spans="2:8" s="163" customFormat="1" ht="16.95" customHeight="1" x14ac:dyDescent="0.25">
      <c r="B117" s="164"/>
      <c r="C117" s="188" t="s">
        <v>878</v>
      </c>
      <c r="D117" s="188" t="s">
        <v>1624</v>
      </c>
      <c r="E117" s="157" t="s">
        <v>15</v>
      </c>
      <c r="F117" s="189">
        <v>2918.4650000000001</v>
      </c>
      <c r="H117" s="164"/>
    </row>
    <row r="118" spans="2:8" s="163" customFormat="1" ht="16.95" customHeight="1" x14ac:dyDescent="0.25">
      <c r="B118" s="164"/>
      <c r="C118" s="188" t="s">
        <v>1031</v>
      </c>
      <c r="D118" s="188" t="s">
        <v>1637</v>
      </c>
      <c r="E118" s="157" t="s">
        <v>15</v>
      </c>
      <c r="F118" s="189">
        <v>724.48500000000001</v>
      </c>
      <c r="H118" s="164"/>
    </row>
    <row r="119" spans="2:8" s="163" customFormat="1" ht="16.95" customHeight="1" x14ac:dyDescent="0.25">
      <c r="B119" s="164"/>
      <c r="C119" s="188" t="s">
        <v>1063</v>
      </c>
      <c r="D119" s="188" t="s">
        <v>656</v>
      </c>
      <c r="E119" s="157" t="s">
        <v>15</v>
      </c>
      <c r="F119" s="189">
        <v>610.44500000000005</v>
      </c>
      <c r="H119" s="164"/>
    </row>
    <row r="120" spans="2:8" s="163" customFormat="1" ht="16.95" customHeight="1" x14ac:dyDescent="0.25">
      <c r="B120" s="164"/>
      <c r="C120" s="188" t="s">
        <v>1122</v>
      </c>
      <c r="D120" s="188" t="s">
        <v>655</v>
      </c>
      <c r="E120" s="157" t="s">
        <v>15</v>
      </c>
      <c r="F120" s="189">
        <v>121.645</v>
      </c>
      <c r="H120" s="164"/>
    </row>
    <row r="121" spans="2:8" s="163" customFormat="1" ht="16.95" customHeight="1" x14ac:dyDescent="0.25">
      <c r="B121" s="164"/>
      <c r="C121" s="188" t="s">
        <v>1486</v>
      </c>
      <c r="D121" s="188" t="s">
        <v>1632</v>
      </c>
      <c r="E121" s="157" t="s">
        <v>15</v>
      </c>
      <c r="F121" s="189">
        <v>2937.0749999999998</v>
      </c>
      <c r="H121" s="164"/>
    </row>
    <row r="122" spans="2:8" s="163" customFormat="1" ht="16.95" customHeight="1" x14ac:dyDescent="0.25">
      <c r="B122" s="164"/>
      <c r="C122" s="188" t="s">
        <v>1519</v>
      </c>
      <c r="D122" s="188" t="s">
        <v>1633</v>
      </c>
      <c r="E122" s="157" t="s">
        <v>15</v>
      </c>
      <c r="F122" s="189">
        <v>3114.4549999999999</v>
      </c>
      <c r="H122" s="164"/>
    </row>
    <row r="123" spans="2:8" s="163" customFormat="1" ht="16.95" customHeight="1" x14ac:dyDescent="0.25">
      <c r="B123" s="164"/>
      <c r="C123" s="188" t="s">
        <v>1126</v>
      </c>
      <c r="D123" s="188" t="s">
        <v>1127</v>
      </c>
      <c r="E123" s="157" t="s">
        <v>15</v>
      </c>
      <c r="F123" s="189">
        <v>59.765999999999998</v>
      </c>
      <c r="H123" s="164"/>
    </row>
    <row r="124" spans="2:8" s="163" customFormat="1" ht="16.95" customHeight="1" x14ac:dyDescent="0.25">
      <c r="B124" s="164"/>
      <c r="C124" s="184" t="s">
        <v>694</v>
      </c>
      <c r="D124" s="185" t="s">
        <v>695</v>
      </c>
      <c r="E124" s="186" t="s">
        <v>15</v>
      </c>
      <c r="F124" s="187">
        <v>88</v>
      </c>
      <c r="H124" s="164"/>
    </row>
    <row r="125" spans="2:8" s="163" customFormat="1" ht="16.95" customHeight="1" x14ac:dyDescent="0.25">
      <c r="B125" s="164"/>
      <c r="C125" s="188" t="s">
        <v>725</v>
      </c>
      <c r="D125" s="188" t="s">
        <v>1656</v>
      </c>
      <c r="E125" s="157" t="s">
        <v>725</v>
      </c>
      <c r="F125" s="189">
        <v>88</v>
      </c>
      <c r="H125" s="164"/>
    </row>
    <row r="126" spans="2:8" s="163" customFormat="1" ht="16.95" customHeight="1" x14ac:dyDescent="0.25">
      <c r="B126" s="164"/>
      <c r="C126" s="190" t="s">
        <v>1621</v>
      </c>
      <c r="H126" s="164"/>
    </row>
    <row r="127" spans="2:8" s="163" customFormat="1" ht="16.95" customHeight="1" x14ac:dyDescent="0.25">
      <c r="B127" s="164"/>
      <c r="C127" s="188" t="s">
        <v>878</v>
      </c>
      <c r="D127" s="188" t="s">
        <v>1624</v>
      </c>
      <c r="E127" s="157" t="s">
        <v>15</v>
      </c>
      <c r="F127" s="189">
        <v>2918.4650000000001</v>
      </c>
      <c r="H127" s="164"/>
    </row>
    <row r="128" spans="2:8" s="163" customFormat="1" ht="16.95" customHeight="1" x14ac:dyDescent="0.25">
      <c r="B128" s="164"/>
      <c r="C128" s="188" t="s">
        <v>1031</v>
      </c>
      <c r="D128" s="188" t="s">
        <v>1637</v>
      </c>
      <c r="E128" s="157" t="s">
        <v>15</v>
      </c>
      <c r="F128" s="189">
        <v>724.48500000000001</v>
      </c>
      <c r="H128" s="164"/>
    </row>
    <row r="129" spans="2:8" s="163" customFormat="1" ht="16.95" customHeight="1" x14ac:dyDescent="0.25">
      <c r="B129" s="164"/>
      <c r="C129" s="188" t="s">
        <v>1063</v>
      </c>
      <c r="D129" s="188" t="s">
        <v>656</v>
      </c>
      <c r="E129" s="157" t="s">
        <v>15</v>
      </c>
      <c r="F129" s="189">
        <v>610.44500000000005</v>
      </c>
      <c r="H129" s="164"/>
    </row>
    <row r="130" spans="2:8" s="163" customFormat="1" ht="16.95" customHeight="1" x14ac:dyDescent="0.25">
      <c r="B130" s="164"/>
      <c r="C130" s="188" t="s">
        <v>1131</v>
      </c>
      <c r="D130" s="188" t="s">
        <v>1657</v>
      </c>
      <c r="E130" s="157" t="s">
        <v>15</v>
      </c>
      <c r="F130" s="189">
        <v>88</v>
      </c>
      <c r="H130" s="164"/>
    </row>
    <row r="131" spans="2:8" s="163" customFormat="1" ht="16.95" customHeight="1" x14ac:dyDescent="0.25">
      <c r="B131" s="164"/>
      <c r="C131" s="188" t="s">
        <v>1486</v>
      </c>
      <c r="D131" s="188" t="s">
        <v>1632</v>
      </c>
      <c r="E131" s="157" t="s">
        <v>15</v>
      </c>
      <c r="F131" s="189">
        <v>2937.0749999999998</v>
      </c>
      <c r="H131" s="164"/>
    </row>
    <row r="132" spans="2:8" s="163" customFormat="1" ht="16.95" customHeight="1" x14ac:dyDescent="0.25">
      <c r="B132" s="164"/>
      <c r="C132" s="188" t="s">
        <v>1519</v>
      </c>
      <c r="D132" s="188" t="s">
        <v>1633</v>
      </c>
      <c r="E132" s="157" t="s">
        <v>15</v>
      </c>
      <c r="F132" s="189">
        <v>3114.4549999999999</v>
      </c>
      <c r="H132" s="164"/>
    </row>
    <row r="133" spans="2:8" s="163" customFormat="1" ht="16.95" customHeight="1" x14ac:dyDescent="0.25">
      <c r="B133" s="164"/>
      <c r="C133" s="188" t="s">
        <v>1135</v>
      </c>
      <c r="D133" s="188" t="s">
        <v>1136</v>
      </c>
      <c r="E133" s="157" t="s">
        <v>15</v>
      </c>
      <c r="F133" s="189">
        <v>89.76</v>
      </c>
      <c r="H133" s="164"/>
    </row>
    <row r="134" spans="2:8" s="163" customFormat="1" ht="16.95" customHeight="1" x14ac:dyDescent="0.25">
      <c r="B134" s="164"/>
      <c r="C134" s="184" t="s">
        <v>700</v>
      </c>
      <c r="D134" s="185" t="s">
        <v>701</v>
      </c>
      <c r="E134" s="186" t="s">
        <v>15</v>
      </c>
      <c r="F134" s="187">
        <v>19.25</v>
      </c>
      <c r="H134" s="164"/>
    </row>
    <row r="135" spans="2:8" s="163" customFormat="1" ht="16.95" customHeight="1" x14ac:dyDescent="0.25">
      <c r="B135" s="164"/>
      <c r="C135" s="188" t="s">
        <v>725</v>
      </c>
      <c r="D135" s="188" t="s">
        <v>1658</v>
      </c>
      <c r="E135" s="157" t="s">
        <v>725</v>
      </c>
      <c r="F135" s="189">
        <v>19.25</v>
      </c>
      <c r="H135" s="164"/>
    </row>
    <row r="136" spans="2:8" s="163" customFormat="1" ht="16.95" customHeight="1" x14ac:dyDescent="0.25">
      <c r="B136" s="164"/>
      <c r="C136" s="190" t="s">
        <v>1621</v>
      </c>
      <c r="H136" s="164"/>
    </row>
    <row r="137" spans="2:8" s="163" customFormat="1" ht="16.95" customHeight="1" x14ac:dyDescent="0.25">
      <c r="B137" s="164"/>
      <c r="C137" s="188" t="s">
        <v>878</v>
      </c>
      <c r="D137" s="188" t="s">
        <v>1624</v>
      </c>
      <c r="E137" s="157" t="s">
        <v>15</v>
      </c>
      <c r="F137" s="189">
        <v>2918.4650000000001</v>
      </c>
      <c r="H137" s="164"/>
    </row>
    <row r="138" spans="2:8" s="163" customFormat="1" ht="16.95" customHeight="1" x14ac:dyDescent="0.25">
      <c r="B138" s="164"/>
      <c r="C138" s="188" t="s">
        <v>1031</v>
      </c>
      <c r="D138" s="188" t="s">
        <v>1637</v>
      </c>
      <c r="E138" s="157" t="s">
        <v>15</v>
      </c>
      <c r="F138" s="189">
        <v>724.48500000000001</v>
      </c>
      <c r="H138" s="164"/>
    </row>
    <row r="139" spans="2:8" s="163" customFormat="1" ht="16.95" customHeight="1" x14ac:dyDescent="0.25">
      <c r="B139" s="164"/>
      <c r="C139" s="188" t="s">
        <v>1063</v>
      </c>
      <c r="D139" s="188" t="s">
        <v>656</v>
      </c>
      <c r="E139" s="157" t="s">
        <v>15</v>
      </c>
      <c r="F139" s="189">
        <v>610.44500000000005</v>
      </c>
      <c r="H139" s="164"/>
    </row>
    <row r="140" spans="2:8" s="163" customFormat="1" ht="16.95" customHeight="1" x14ac:dyDescent="0.25">
      <c r="B140" s="164"/>
      <c r="C140" s="188" t="s">
        <v>1084</v>
      </c>
      <c r="D140" s="188" t="s">
        <v>1659</v>
      </c>
      <c r="E140" s="157" t="s">
        <v>15</v>
      </c>
      <c r="F140" s="189">
        <v>19.25</v>
      </c>
      <c r="H140" s="164"/>
    </row>
    <row r="141" spans="2:8" s="163" customFormat="1" ht="16.95" customHeight="1" x14ac:dyDescent="0.25">
      <c r="B141" s="164"/>
      <c r="C141" s="188" t="s">
        <v>1486</v>
      </c>
      <c r="D141" s="188" t="s">
        <v>1632</v>
      </c>
      <c r="E141" s="157" t="s">
        <v>15</v>
      </c>
      <c r="F141" s="189">
        <v>2937.0749999999998</v>
      </c>
      <c r="H141" s="164"/>
    </row>
    <row r="142" spans="2:8" s="163" customFormat="1" ht="16.95" customHeight="1" x14ac:dyDescent="0.25">
      <c r="B142" s="164"/>
      <c r="C142" s="188" t="s">
        <v>1519</v>
      </c>
      <c r="D142" s="188" t="s">
        <v>1633</v>
      </c>
      <c r="E142" s="157" t="s">
        <v>15</v>
      </c>
      <c r="F142" s="189">
        <v>3114.4549999999999</v>
      </c>
      <c r="H142" s="164"/>
    </row>
    <row r="143" spans="2:8" s="163" customFormat="1" ht="16.95" customHeight="1" x14ac:dyDescent="0.25">
      <c r="B143" s="164"/>
      <c r="C143" s="184" t="s">
        <v>727</v>
      </c>
      <c r="D143" s="185" t="s">
        <v>728</v>
      </c>
      <c r="E143" s="186" t="s">
        <v>15</v>
      </c>
      <c r="F143" s="187">
        <v>1088.2</v>
      </c>
      <c r="H143" s="164"/>
    </row>
    <row r="144" spans="2:8" s="163" customFormat="1" ht="16.95" customHeight="1" x14ac:dyDescent="0.25">
      <c r="B144" s="164"/>
      <c r="C144" s="188" t="s">
        <v>725</v>
      </c>
      <c r="D144" s="188" t="s">
        <v>1660</v>
      </c>
      <c r="E144" s="157" t="s">
        <v>725</v>
      </c>
      <c r="F144" s="189">
        <v>1088.2</v>
      </c>
      <c r="H144" s="164"/>
    </row>
    <row r="145" spans="2:8" s="163" customFormat="1" ht="16.95" customHeight="1" x14ac:dyDescent="0.25">
      <c r="B145" s="164"/>
      <c r="C145" s="190" t="s">
        <v>1621</v>
      </c>
      <c r="H145" s="164"/>
    </row>
    <row r="146" spans="2:8" s="163" customFormat="1" ht="16.95" customHeight="1" x14ac:dyDescent="0.25">
      <c r="B146" s="164"/>
      <c r="C146" s="188" t="s">
        <v>878</v>
      </c>
      <c r="D146" s="188" t="s">
        <v>1624</v>
      </c>
      <c r="E146" s="157" t="s">
        <v>15</v>
      </c>
      <c r="F146" s="189">
        <v>2918.4650000000001</v>
      </c>
      <c r="H146" s="164"/>
    </row>
    <row r="147" spans="2:8" s="163" customFormat="1" ht="16.95" customHeight="1" x14ac:dyDescent="0.25">
      <c r="B147" s="164"/>
      <c r="C147" s="188" t="s">
        <v>1023</v>
      </c>
      <c r="D147" s="188" t="s">
        <v>1661</v>
      </c>
      <c r="E147" s="157" t="s">
        <v>15</v>
      </c>
      <c r="F147" s="189">
        <v>1556.91</v>
      </c>
      <c r="H147" s="164"/>
    </row>
    <row r="148" spans="2:8" s="163" customFormat="1" ht="16.95" customHeight="1" x14ac:dyDescent="0.25">
      <c r="B148" s="164"/>
      <c r="C148" s="188" t="s">
        <v>1027</v>
      </c>
      <c r="D148" s="188" t="s">
        <v>1662</v>
      </c>
      <c r="E148" s="157" t="s">
        <v>15</v>
      </c>
      <c r="F148" s="189">
        <v>1556.91</v>
      </c>
      <c r="H148" s="164"/>
    </row>
    <row r="149" spans="2:8" s="163" customFormat="1" ht="16.95" customHeight="1" x14ac:dyDescent="0.25">
      <c r="B149" s="164"/>
      <c r="C149" s="188" t="s">
        <v>1149</v>
      </c>
      <c r="D149" s="188" t="s">
        <v>1649</v>
      </c>
      <c r="E149" s="157" t="s">
        <v>15</v>
      </c>
      <c r="F149" s="189">
        <v>1489.78</v>
      </c>
      <c r="H149" s="164"/>
    </row>
    <row r="150" spans="2:8" s="163" customFormat="1" ht="16.95" customHeight="1" x14ac:dyDescent="0.25">
      <c r="B150" s="164"/>
      <c r="C150" s="188" t="s">
        <v>1486</v>
      </c>
      <c r="D150" s="188" t="s">
        <v>1632</v>
      </c>
      <c r="E150" s="157" t="s">
        <v>15</v>
      </c>
      <c r="F150" s="189">
        <v>2937.0749999999998</v>
      </c>
      <c r="H150" s="164"/>
    </row>
    <row r="151" spans="2:8" s="163" customFormat="1" ht="16.95" customHeight="1" x14ac:dyDescent="0.25">
      <c r="B151" s="164"/>
      <c r="C151" s="188" t="s">
        <v>1519</v>
      </c>
      <c r="D151" s="188" t="s">
        <v>1633</v>
      </c>
      <c r="E151" s="157" t="s">
        <v>15</v>
      </c>
      <c r="F151" s="189">
        <v>3114.4549999999999</v>
      </c>
      <c r="H151" s="164"/>
    </row>
    <row r="152" spans="2:8" s="163" customFormat="1" ht="16.95" customHeight="1" x14ac:dyDescent="0.25">
      <c r="B152" s="164"/>
      <c r="C152" s="188" t="s">
        <v>1153</v>
      </c>
      <c r="D152" s="188" t="s">
        <v>1154</v>
      </c>
      <c r="E152" s="157" t="s">
        <v>15</v>
      </c>
      <c r="F152" s="189">
        <v>1523.9259999999999</v>
      </c>
      <c r="H152" s="164"/>
    </row>
    <row r="153" spans="2:8" s="163" customFormat="1" ht="16.95" customHeight="1" x14ac:dyDescent="0.25">
      <c r="B153" s="164"/>
      <c r="C153" s="184" t="s">
        <v>736</v>
      </c>
      <c r="D153" s="185" t="s">
        <v>737</v>
      </c>
      <c r="E153" s="186" t="s">
        <v>15</v>
      </c>
      <c r="F153" s="187">
        <v>22.67</v>
      </c>
      <c r="H153" s="164"/>
    </row>
    <row r="154" spans="2:8" s="163" customFormat="1" ht="16.95" customHeight="1" x14ac:dyDescent="0.25">
      <c r="B154" s="164"/>
      <c r="C154" s="188" t="s">
        <v>725</v>
      </c>
      <c r="D154" s="188" t="s">
        <v>1663</v>
      </c>
      <c r="E154" s="157" t="s">
        <v>725</v>
      </c>
      <c r="F154" s="189">
        <v>22.67</v>
      </c>
      <c r="H154" s="164"/>
    </row>
    <row r="155" spans="2:8" s="163" customFormat="1" ht="16.95" customHeight="1" x14ac:dyDescent="0.25">
      <c r="B155" s="164"/>
      <c r="C155" s="190" t="s">
        <v>1621</v>
      </c>
      <c r="H155" s="164"/>
    </row>
    <row r="156" spans="2:8" s="163" customFormat="1" ht="16.95" customHeight="1" x14ac:dyDescent="0.25">
      <c r="B156" s="164"/>
      <c r="C156" s="188" t="s">
        <v>878</v>
      </c>
      <c r="D156" s="188" t="s">
        <v>1624</v>
      </c>
      <c r="E156" s="157" t="s">
        <v>15</v>
      </c>
      <c r="F156" s="189">
        <v>2918.4650000000001</v>
      </c>
      <c r="H156" s="164"/>
    </row>
    <row r="157" spans="2:8" s="163" customFormat="1" ht="16.95" customHeight="1" x14ac:dyDescent="0.25">
      <c r="B157" s="164"/>
      <c r="C157" s="188" t="s">
        <v>1149</v>
      </c>
      <c r="D157" s="188" t="s">
        <v>1649</v>
      </c>
      <c r="E157" s="157" t="s">
        <v>15</v>
      </c>
      <c r="F157" s="189">
        <v>1489.78</v>
      </c>
      <c r="H157" s="164"/>
    </row>
    <row r="158" spans="2:8" s="163" customFormat="1" ht="16.95" customHeight="1" x14ac:dyDescent="0.25">
      <c r="B158" s="164"/>
      <c r="C158" s="188" t="s">
        <v>1519</v>
      </c>
      <c r="D158" s="188" t="s">
        <v>1633</v>
      </c>
      <c r="E158" s="157" t="s">
        <v>15</v>
      </c>
      <c r="F158" s="189">
        <v>3114.4549999999999</v>
      </c>
      <c r="H158" s="164"/>
    </row>
    <row r="159" spans="2:8" s="163" customFormat="1" ht="16.95" customHeight="1" x14ac:dyDescent="0.25">
      <c r="B159" s="164"/>
      <c r="C159" s="188" t="s">
        <v>1153</v>
      </c>
      <c r="D159" s="188" t="s">
        <v>1154</v>
      </c>
      <c r="E159" s="157" t="s">
        <v>15</v>
      </c>
      <c r="F159" s="189">
        <v>1523.9259999999999</v>
      </c>
      <c r="H159" s="164"/>
    </row>
    <row r="160" spans="2:8" s="163" customFormat="1" ht="16.95" customHeight="1" x14ac:dyDescent="0.25">
      <c r="B160" s="164"/>
      <c r="C160" s="184" t="s">
        <v>793</v>
      </c>
      <c r="D160" s="185" t="s">
        <v>794</v>
      </c>
      <c r="E160" s="186" t="s">
        <v>15</v>
      </c>
      <c r="F160" s="187">
        <v>1.33</v>
      </c>
      <c r="H160" s="164"/>
    </row>
    <row r="161" spans="2:8" s="163" customFormat="1" ht="16.95" customHeight="1" x14ac:dyDescent="0.25">
      <c r="B161" s="164"/>
      <c r="C161" s="188" t="s">
        <v>725</v>
      </c>
      <c r="D161" s="188" t="s">
        <v>1664</v>
      </c>
      <c r="E161" s="157" t="s">
        <v>725</v>
      </c>
      <c r="F161" s="189">
        <v>1.33</v>
      </c>
      <c r="H161" s="164"/>
    </row>
    <row r="162" spans="2:8" s="163" customFormat="1" ht="16.95" customHeight="1" x14ac:dyDescent="0.25">
      <c r="B162" s="164"/>
      <c r="C162" s="190" t="s">
        <v>1621</v>
      </c>
      <c r="H162" s="164"/>
    </row>
    <row r="163" spans="2:8" s="163" customFormat="1" ht="16.95" customHeight="1" x14ac:dyDescent="0.25">
      <c r="B163" s="164"/>
      <c r="C163" s="188" t="s">
        <v>878</v>
      </c>
      <c r="D163" s="188" t="s">
        <v>1624</v>
      </c>
      <c r="E163" s="157" t="s">
        <v>15</v>
      </c>
      <c r="F163" s="189">
        <v>2918.4650000000001</v>
      </c>
      <c r="H163" s="164"/>
    </row>
    <row r="164" spans="2:8" s="163" customFormat="1" ht="16.95" customHeight="1" x14ac:dyDescent="0.25">
      <c r="B164" s="164"/>
      <c r="C164" s="188" t="s">
        <v>1023</v>
      </c>
      <c r="D164" s="188" t="s">
        <v>1661</v>
      </c>
      <c r="E164" s="157" t="s">
        <v>15</v>
      </c>
      <c r="F164" s="189">
        <v>1556.91</v>
      </c>
      <c r="H164" s="164"/>
    </row>
    <row r="165" spans="2:8" s="163" customFormat="1" ht="16.95" customHeight="1" x14ac:dyDescent="0.25">
      <c r="B165" s="164"/>
      <c r="C165" s="188" t="s">
        <v>1027</v>
      </c>
      <c r="D165" s="188" t="s">
        <v>1662</v>
      </c>
      <c r="E165" s="157" t="s">
        <v>15</v>
      </c>
      <c r="F165" s="189">
        <v>1556.91</v>
      </c>
      <c r="H165" s="164"/>
    </row>
    <row r="166" spans="2:8" s="163" customFormat="1" ht="16.95" customHeight="1" x14ac:dyDescent="0.25">
      <c r="B166" s="164"/>
      <c r="C166" s="188" t="s">
        <v>1334</v>
      </c>
      <c r="D166" s="188" t="s">
        <v>1647</v>
      </c>
      <c r="E166" s="157" t="s">
        <v>140</v>
      </c>
      <c r="F166" s="189">
        <v>244.63900000000001</v>
      </c>
      <c r="H166" s="164"/>
    </row>
    <row r="167" spans="2:8" s="163" customFormat="1" ht="16.95" customHeight="1" x14ac:dyDescent="0.25">
      <c r="B167" s="164"/>
      <c r="C167" s="188" t="s">
        <v>1486</v>
      </c>
      <c r="D167" s="188" t="s">
        <v>1632</v>
      </c>
      <c r="E167" s="157" t="s">
        <v>15</v>
      </c>
      <c r="F167" s="189">
        <v>2937.0749999999998</v>
      </c>
      <c r="H167" s="164"/>
    </row>
    <row r="168" spans="2:8" s="163" customFormat="1" ht="16.95" customHeight="1" x14ac:dyDescent="0.25">
      <c r="B168" s="164"/>
      <c r="C168" s="188" t="s">
        <v>1519</v>
      </c>
      <c r="D168" s="188" t="s">
        <v>1633</v>
      </c>
      <c r="E168" s="157" t="s">
        <v>15</v>
      </c>
      <c r="F168" s="189">
        <v>3114.4549999999999</v>
      </c>
      <c r="H168" s="164"/>
    </row>
    <row r="169" spans="2:8" s="163" customFormat="1" ht="16.95" customHeight="1" x14ac:dyDescent="0.25">
      <c r="B169" s="164"/>
      <c r="C169" s="188" t="s">
        <v>1354</v>
      </c>
      <c r="D169" s="188" t="s">
        <v>1355</v>
      </c>
      <c r="E169" s="157" t="s">
        <v>15</v>
      </c>
      <c r="F169" s="189">
        <v>43.311999999999998</v>
      </c>
      <c r="H169" s="164"/>
    </row>
    <row r="170" spans="2:8" s="163" customFormat="1" ht="16.95" customHeight="1" x14ac:dyDescent="0.25">
      <c r="B170" s="164"/>
      <c r="C170" s="184" t="s">
        <v>741</v>
      </c>
      <c r="D170" s="185" t="s">
        <v>742</v>
      </c>
      <c r="E170" s="186" t="s">
        <v>15</v>
      </c>
      <c r="F170" s="187">
        <v>10.24</v>
      </c>
      <c r="H170" s="164"/>
    </row>
    <row r="171" spans="2:8" s="163" customFormat="1" ht="16.95" customHeight="1" x14ac:dyDescent="0.25">
      <c r="B171" s="164"/>
      <c r="C171" s="188" t="s">
        <v>725</v>
      </c>
      <c r="D171" s="188" t="s">
        <v>1665</v>
      </c>
      <c r="E171" s="157" t="s">
        <v>725</v>
      </c>
      <c r="F171" s="189">
        <v>10.24</v>
      </c>
      <c r="H171" s="164"/>
    </row>
    <row r="172" spans="2:8" s="163" customFormat="1" ht="16.95" customHeight="1" x14ac:dyDescent="0.25">
      <c r="B172" s="164"/>
      <c r="C172" s="190" t="s">
        <v>1621</v>
      </c>
      <c r="H172" s="164"/>
    </row>
    <row r="173" spans="2:8" s="163" customFormat="1" ht="16.95" customHeight="1" x14ac:dyDescent="0.25">
      <c r="B173" s="164"/>
      <c r="C173" s="188" t="s">
        <v>878</v>
      </c>
      <c r="D173" s="188" t="s">
        <v>1624</v>
      </c>
      <c r="E173" s="157" t="s">
        <v>15</v>
      </c>
      <c r="F173" s="189">
        <v>2918.4650000000001</v>
      </c>
      <c r="H173" s="164"/>
    </row>
    <row r="174" spans="2:8" s="163" customFormat="1" ht="16.95" customHeight="1" x14ac:dyDescent="0.25">
      <c r="B174" s="164"/>
      <c r="C174" s="188" t="s">
        <v>1023</v>
      </c>
      <c r="D174" s="188" t="s">
        <v>1661</v>
      </c>
      <c r="E174" s="157" t="s">
        <v>15</v>
      </c>
      <c r="F174" s="189">
        <v>1556.91</v>
      </c>
      <c r="H174" s="164"/>
    </row>
    <row r="175" spans="2:8" s="163" customFormat="1" ht="16.95" customHeight="1" x14ac:dyDescent="0.25">
      <c r="B175" s="164"/>
      <c r="C175" s="188" t="s">
        <v>1027</v>
      </c>
      <c r="D175" s="188" t="s">
        <v>1662</v>
      </c>
      <c r="E175" s="157" t="s">
        <v>15</v>
      </c>
      <c r="F175" s="189">
        <v>1556.91</v>
      </c>
      <c r="H175" s="164"/>
    </row>
    <row r="176" spans="2:8" s="163" customFormat="1" ht="16.95" customHeight="1" x14ac:dyDescent="0.25">
      <c r="B176" s="164"/>
      <c r="C176" s="188" t="s">
        <v>1149</v>
      </c>
      <c r="D176" s="188" t="s">
        <v>1649</v>
      </c>
      <c r="E176" s="157" t="s">
        <v>15</v>
      </c>
      <c r="F176" s="189">
        <v>1489.78</v>
      </c>
      <c r="H176" s="164"/>
    </row>
    <row r="177" spans="2:8" s="163" customFormat="1" ht="16.95" customHeight="1" x14ac:dyDescent="0.25">
      <c r="B177" s="164"/>
      <c r="C177" s="188" t="s">
        <v>1486</v>
      </c>
      <c r="D177" s="188" t="s">
        <v>1632</v>
      </c>
      <c r="E177" s="157" t="s">
        <v>15</v>
      </c>
      <c r="F177" s="189">
        <v>2937.0749999999998</v>
      </c>
      <c r="H177" s="164"/>
    </row>
    <row r="178" spans="2:8" s="163" customFormat="1" ht="16.95" customHeight="1" x14ac:dyDescent="0.25">
      <c r="B178" s="164"/>
      <c r="C178" s="188" t="s">
        <v>1519</v>
      </c>
      <c r="D178" s="188" t="s">
        <v>1633</v>
      </c>
      <c r="E178" s="157" t="s">
        <v>15</v>
      </c>
      <c r="F178" s="189">
        <v>3114.4549999999999</v>
      </c>
      <c r="H178" s="164"/>
    </row>
    <row r="179" spans="2:8" s="163" customFormat="1" ht="16.95" customHeight="1" x14ac:dyDescent="0.25">
      <c r="B179" s="164"/>
      <c r="C179" s="188" t="s">
        <v>1158</v>
      </c>
      <c r="D179" s="188" t="s">
        <v>1159</v>
      </c>
      <c r="E179" s="157" t="s">
        <v>15</v>
      </c>
      <c r="F179" s="189">
        <v>10.547000000000001</v>
      </c>
      <c r="H179" s="164"/>
    </row>
    <row r="180" spans="2:8" s="163" customFormat="1" ht="16.95" customHeight="1" x14ac:dyDescent="0.25">
      <c r="B180" s="164"/>
      <c r="C180" s="184" t="s">
        <v>800</v>
      </c>
      <c r="D180" s="185" t="s">
        <v>801</v>
      </c>
      <c r="E180" s="186" t="s">
        <v>15</v>
      </c>
      <c r="F180" s="187">
        <v>1.03</v>
      </c>
      <c r="H180" s="164"/>
    </row>
    <row r="181" spans="2:8" s="163" customFormat="1" ht="16.95" customHeight="1" x14ac:dyDescent="0.25">
      <c r="B181" s="164"/>
      <c r="C181" s="188" t="s">
        <v>725</v>
      </c>
      <c r="D181" s="188" t="s">
        <v>1666</v>
      </c>
      <c r="E181" s="157" t="s">
        <v>725</v>
      </c>
      <c r="F181" s="189">
        <v>1.03</v>
      </c>
      <c r="H181" s="164"/>
    </row>
    <row r="182" spans="2:8" s="163" customFormat="1" ht="16.95" customHeight="1" x14ac:dyDescent="0.25">
      <c r="B182" s="164"/>
      <c r="C182" s="190" t="s">
        <v>1621</v>
      </c>
      <c r="H182" s="164"/>
    </row>
    <row r="183" spans="2:8" s="163" customFormat="1" ht="16.95" customHeight="1" x14ac:dyDescent="0.25">
      <c r="B183" s="164"/>
      <c r="C183" s="188" t="s">
        <v>878</v>
      </c>
      <c r="D183" s="188" t="s">
        <v>1624</v>
      </c>
      <c r="E183" s="157" t="s">
        <v>15</v>
      </c>
      <c r="F183" s="189">
        <v>2918.4650000000001</v>
      </c>
      <c r="H183" s="164"/>
    </row>
    <row r="184" spans="2:8" s="163" customFormat="1" ht="16.95" customHeight="1" x14ac:dyDescent="0.25">
      <c r="B184" s="164"/>
      <c r="C184" s="188" t="s">
        <v>1023</v>
      </c>
      <c r="D184" s="188" t="s">
        <v>1661</v>
      </c>
      <c r="E184" s="157" t="s">
        <v>15</v>
      </c>
      <c r="F184" s="189">
        <v>1556.91</v>
      </c>
      <c r="H184" s="164"/>
    </row>
    <row r="185" spans="2:8" s="163" customFormat="1" ht="16.95" customHeight="1" x14ac:dyDescent="0.25">
      <c r="B185" s="164"/>
      <c r="C185" s="188" t="s">
        <v>1027</v>
      </c>
      <c r="D185" s="188" t="s">
        <v>1662</v>
      </c>
      <c r="E185" s="157" t="s">
        <v>15</v>
      </c>
      <c r="F185" s="189">
        <v>1556.91</v>
      </c>
      <c r="H185" s="164"/>
    </row>
    <row r="186" spans="2:8" s="163" customFormat="1" ht="16.95" customHeight="1" x14ac:dyDescent="0.25">
      <c r="B186" s="164"/>
      <c r="C186" s="188" t="s">
        <v>1107</v>
      </c>
      <c r="D186" s="188" t="s">
        <v>1667</v>
      </c>
      <c r="E186" s="157" t="s">
        <v>15</v>
      </c>
      <c r="F186" s="189">
        <v>66.42</v>
      </c>
      <c r="H186" s="164"/>
    </row>
    <row r="187" spans="2:8" s="163" customFormat="1" ht="16.95" customHeight="1" x14ac:dyDescent="0.25">
      <c r="B187" s="164"/>
      <c r="C187" s="188" t="s">
        <v>1486</v>
      </c>
      <c r="D187" s="188" t="s">
        <v>1632</v>
      </c>
      <c r="E187" s="157" t="s">
        <v>15</v>
      </c>
      <c r="F187" s="189">
        <v>2937.0749999999998</v>
      </c>
      <c r="H187" s="164"/>
    </row>
    <row r="188" spans="2:8" s="163" customFormat="1" ht="16.95" customHeight="1" x14ac:dyDescent="0.25">
      <c r="B188" s="164"/>
      <c r="C188" s="188" t="s">
        <v>1519</v>
      </c>
      <c r="D188" s="188" t="s">
        <v>1633</v>
      </c>
      <c r="E188" s="157" t="s">
        <v>15</v>
      </c>
      <c r="F188" s="189">
        <v>3114.4549999999999</v>
      </c>
      <c r="H188" s="164"/>
    </row>
    <row r="189" spans="2:8" s="163" customFormat="1" ht="16.95" customHeight="1" x14ac:dyDescent="0.25">
      <c r="B189" s="164"/>
      <c r="C189" s="188" t="s">
        <v>1117</v>
      </c>
      <c r="D189" s="188" t="s">
        <v>1118</v>
      </c>
      <c r="E189" s="157" t="s">
        <v>15</v>
      </c>
      <c r="F189" s="189">
        <v>28.201000000000001</v>
      </c>
      <c r="H189" s="164"/>
    </row>
    <row r="190" spans="2:8" s="163" customFormat="1" ht="16.95" customHeight="1" x14ac:dyDescent="0.25">
      <c r="B190" s="164"/>
      <c r="C190" s="184" t="s">
        <v>733</v>
      </c>
      <c r="D190" s="185" t="s">
        <v>734</v>
      </c>
      <c r="E190" s="186" t="s">
        <v>15</v>
      </c>
      <c r="F190" s="187">
        <v>439.13</v>
      </c>
      <c r="H190" s="164"/>
    </row>
    <row r="191" spans="2:8" s="163" customFormat="1" ht="16.95" customHeight="1" x14ac:dyDescent="0.25">
      <c r="B191" s="164"/>
      <c r="C191" s="188" t="s">
        <v>725</v>
      </c>
      <c r="D191" s="188" t="s">
        <v>1668</v>
      </c>
      <c r="E191" s="157" t="s">
        <v>725</v>
      </c>
      <c r="F191" s="189">
        <v>439.13</v>
      </c>
      <c r="H191" s="164"/>
    </row>
    <row r="192" spans="2:8" s="163" customFormat="1" ht="16.95" customHeight="1" x14ac:dyDescent="0.25">
      <c r="B192" s="164"/>
      <c r="C192" s="190" t="s">
        <v>1621</v>
      </c>
      <c r="H192" s="164"/>
    </row>
    <row r="193" spans="2:8" s="163" customFormat="1" ht="16.95" customHeight="1" x14ac:dyDescent="0.25">
      <c r="B193" s="164"/>
      <c r="C193" s="188" t="s">
        <v>878</v>
      </c>
      <c r="D193" s="188" t="s">
        <v>1624</v>
      </c>
      <c r="E193" s="157" t="s">
        <v>15</v>
      </c>
      <c r="F193" s="189">
        <v>2918.4650000000001</v>
      </c>
      <c r="H193" s="164"/>
    </row>
    <row r="194" spans="2:8" s="163" customFormat="1" ht="16.95" customHeight="1" x14ac:dyDescent="0.25">
      <c r="B194" s="164"/>
      <c r="C194" s="188" t="s">
        <v>1023</v>
      </c>
      <c r="D194" s="188" t="s">
        <v>1661</v>
      </c>
      <c r="E194" s="157" t="s">
        <v>15</v>
      </c>
      <c r="F194" s="189">
        <v>1556.91</v>
      </c>
      <c r="H194" s="164"/>
    </row>
    <row r="195" spans="2:8" s="163" customFormat="1" ht="16.95" customHeight="1" x14ac:dyDescent="0.25">
      <c r="B195" s="164"/>
      <c r="C195" s="188" t="s">
        <v>1027</v>
      </c>
      <c r="D195" s="188" t="s">
        <v>1662</v>
      </c>
      <c r="E195" s="157" t="s">
        <v>15</v>
      </c>
      <c r="F195" s="189">
        <v>1556.91</v>
      </c>
      <c r="H195" s="164"/>
    </row>
    <row r="196" spans="2:8" s="163" customFormat="1" ht="16.95" customHeight="1" x14ac:dyDescent="0.25">
      <c r="B196" s="164"/>
      <c r="C196" s="188" t="s">
        <v>1140</v>
      </c>
      <c r="D196" s="188" t="s">
        <v>1669</v>
      </c>
      <c r="E196" s="157" t="s">
        <v>15</v>
      </c>
      <c r="F196" s="189">
        <v>439.13</v>
      </c>
      <c r="H196" s="164"/>
    </row>
    <row r="197" spans="2:8" s="163" customFormat="1" ht="16.95" customHeight="1" x14ac:dyDescent="0.25">
      <c r="B197" s="164"/>
      <c r="C197" s="188" t="s">
        <v>1486</v>
      </c>
      <c r="D197" s="188" t="s">
        <v>1632</v>
      </c>
      <c r="E197" s="157" t="s">
        <v>15</v>
      </c>
      <c r="F197" s="189">
        <v>2937.0749999999998</v>
      </c>
      <c r="H197" s="164"/>
    </row>
    <row r="198" spans="2:8" s="163" customFormat="1" ht="16.95" customHeight="1" x14ac:dyDescent="0.25">
      <c r="B198" s="164"/>
      <c r="C198" s="188" t="s">
        <v>1519</v>
      </c>
      <c r="D198" s="188" t="s">
        <v>1633</v>
      </c>
      <c r="E198" s="157" t="s">
        <v>15</v>
      </c>
      <c r="F198" s="189">
        <v>3114.4549999999999</v>
      </c>
      <c r="H198" s="164"/>
    </row>
    <row r="199" spans="2:8" s="163" customFormat="1" ht="16.95" customHeight="1" x14ac:dyDescent="0.25">
      <c r="B199" s="164"/>
      <c r="C199" s="188" t="s">
        <v>1144</v>
      </c>
      <c r="D199" s="188" t="s">
        <v>1145</v>
      </c>
      <c r="E199" s="157" t="s">
        <v>15</v>
      </c>
      <c r="F199" s="189">
        <v>452.30399999999997</v>
      </c>
      <c r="H199" s="164"/>
    </row>
    <row r="200" spans="2:8" s="163" customFormat="1" ht="16.95" customHeight="1" x14ac:dyDescent="0.25">
      <c r="B200" s="164"/>
      <c r="C200" s="184" t="s">
        <v>796</v>
      </c>
      <c r="D200" s="185" t="s">
        <v>797</v>
      </c>
      <c r="E200" s="186" t="s">
        <v>15</v>
      </c>
      <c r="F200" s="187">
        <v>10.59</v>
      </c>
      <c r="H200" s="164"/>
    </row>
    <row r="201" spans="2:8" s="163" customFormat="1" ht="16.95" customHeight="1" x14ac:dyDescent="0.25">
      <c r="B201" s="164"/>
      <c r="C201" s="188" t="s">
        <v>725</v>
      </c>
      <c r="D201" s="188" t="s">
        <v>1670</v>
      </c>
      <c r="E201" s="157" t="s">
        <v>725</v>
      </c>
      <c r="F201" s="189">
        <v>10.59</v>
      </c>
      <c r="H201" s="164"/>
    </row>
    <row r="202" spans="2:8" s="163" customFormat="1" ht="16.95" customHeight="1" x14ac:dyDescent="0.25">
      <c r="B202" s="164"/>
      <c r="C202" s="190" t="s">
        <v>1621</v>
      </c>
      <c r="H202" s="164"/>
    </row>
    <row r="203" spans="2:8" s="163" customFormat="1" ht="16.95" customHeight="1" x14ac:dyDescent="0.25">
      <c r="B203" s="164"/>
      <c r="C203" s="188" t="s">
        <v>878</v>
      </c>
      <c r="D203" s="188" t="s">
        <v>1624</v>
      </c>
      <c r="E203" s="157" t="s">
        <v>15</v>
      </c>
      <c r="F203" s="189">
        <v>2918.4650000000001</v>
      </c>
      <c r="H203" s="164"/>
    </row>
    <row r="204" spans="2:8" s="163" customFormat="1" ht="16.95" customHeight="1" x14ac:dyDescent="0.25">
      <c r="B204" s="164"/>
      <c r="C204" s="188" t="s">
        <v>1023</v>
      </c>
      <c r="D204" s="188" t="s">
        <v>1661</v>
      </c>
      <c r="E204" s="157" t="s">
        <v>15</v>
      </c>
      <c r="F204" s="189">
        <v>1556.91</v>
      </c>
      <c r="H204" s="164"/>
    </row>
    <row r="205" spans="2:8" s="163" customFormat="1" ht="16.95" customHeight="1" x14ac:dyDescent="0.25">
      <c r="B205" s="164"/>
      <c r="C205" s="188" t="s">
        <v>1027</v>
      </c>
      <c r="D205" s="188" t="s">
        <v>1662</v>
      </c>
      <c r="E205" s="157" t="s">
        <v>15</v>
      </c>
      <c r="F205" s="189">
        <v>1556.91</v>
      </c>
      <c r="H205" s="164"/>
    </row>
    <row r="206" spans="2:8" s="163" customFormat="1" ht="16.95" customHeight="1" x14ac:dyDescent="0.25">
      <c r="B206" s="164"/>
      <c r="C206" s="188" t="s">
        <v>1334</v>
      </c>
      <c r="D206" s="188" t="s">
        <v>1647</v>
      </c>
      <c r="E206" s="157" t="s">
        <v>140</v>
      </c>
      <c r="F206" s="189">
        <v>244.63900000000001</v>
      </c>
      <c r="H206" s="164"/>
    </row>
    <row r="207" spans="2:8" s="163" customFormat="1" ht="16.95" customHeight="1" x14ac:dyDescent="0.25">
      <c r="B207" s="164"/>
      <c r="C207" s="188" t="s">
        <v>1486</v>
      </c>
      <c r="D207" s="188" t="s">
        <v>1632</v>
      </c>
      <c r="E207" s="157" t="s">
        <v>15</v>
      </c>
      <c r="F207" s="189">
        <v>2937.0749999999998</v>
      </c>
      <c r="H207" s="164"/>
    </row>
    <row r="208" spans="2:8" s="163" customFormat="1" ht="16.95" customHeight="1" x14ac:dyDescent="0.25">
      <c r="B208" s="164"/>
      <c r="C208" s="188" t="s">
        <v>1519</v>
      </c>
      <c r="D208" s="188" t="s">
        <v>1633</v>
      </c>
      <c r="E208" s="157" t="s">
        <v>15</v>
      </c>
      <c r="F208" s="189">
        <v>3114.4549999999999</v>
      </c>
      <c r="H208" s="164"/>
    </row>
    <row r="209" spans="2:8" s="163" customFormat="1" ht="16.95" customHeight="1" x14ac:dyDescent="0.25">
      <c r="B209" s="164"/>
      <c r="C209" s="188" t="s">
        <v>1354</v>
      </c>
      <c r="D209" s="188" t="s">
        <v>1355</v>
      </c>
      <c r="E209" s="157" t="s">
        <v>15</v>
      </c>
      <c r="F209" s="189">
        <v>43.311999999999998</v>
      </c>
      <c r="H209" s="164"/>
    </row>
    <row r="210" spans="2:8" s="163" customFormat="1" ht="16.95" customHeight="1" x14ac:dyDescent="0.25">
      <c r="B210" s="164"/>
      <c r="C210" s="184" t="s">
        <v>803</v>
      </c>
      <c r="D210" s="185" t="s">
        <v>804</v>
      </c>
      <c r="E210" s="186" t="s">
        <v>15</v>
      </c>
      <c r="F210" s="187">
        <v>6.39</v>
      </c>
      <c r="H210" s="164"/>
    </row>
    <row r="211" spans="2:8" s="163" customFormat="1" ht="16.95" customHeight="1" x14ac:dyDescent="0.25">
      <c r="B211" s="164"/>
      <c r="C211" s="188" t="s">
        <v>725</v>
      </c>
      <c r="D211" s="188" t="s">
        <v>1671</v>
      </c>
      <c r="E211" s="157" t="s">
        <v>725</v>
      </c>
      <c r="F211" s="189">
        <v>6.39</v>
      </c>
      <c r="H211" s="164"/>
    </row>
    <row r="212" spans="2:8" s="163" customFormat="1" ht="16.95" customHeight="1" x14ac:dyDescent="0.25">
      <c r="B212" s="164"/>
      <c r="C212" s="190" t="s">
        <v>1621</v>
      </c>
      <c r="H212" s="164"/>
    </row>
    <row r="213" spans="2:8" s="163" customFormat="1" ht="16.95" customHeight="1" x14ac:dyDescent="0.25">
      <c r="B213" s="164"/>
      <c r="C213" s="188" t="s">
        <v>878</v>
      </c>
      <c r="D213" s="188" t="s">
        <v>1624</v>
      </c>
      <c r="E213" s="157" t="s">
        <v>15</v>
      </c>
      <c r="F213" s="189">
        <v>2918.4650000000001</v>
      </c>
      <c r="H213" s="164"/>
    </row>
    <row r="214" spans="2:8" s="163" customFormat="1" ht="16.95" customHeight="1" x14ac:dyDescent="0.25">
      <c r="B214" s="164"/>
      <c r="C214" s="188" t="s">
        <v>1023</v>
      </c>
      <c r="D214" s="188" t="s">
        <v>1661</v>
      </c>
      <c r="E214" s="157" t="s">
        <v>15</v>
      </c>
      <c r="F214" s="189">
        <v>1556.91</v>
      </c>
      <c r="H214" s="164"/>
    </row>
    <row r="215" spans="2:8" s="163" customFormat="1" ht="16.95" customHeight="1" x14ac:dyDescent="0.25">
      <c r="B215" s="164"/>
      <c r="C215" s="188" t="s">
        <v>1027</v>
      </c>
      <c r="D215" s="188" t="s">
        <v>1662</v>
      </c>
      <c r="E215" s="157" t="s">
        <v>15</v>
      </c>
      <c r="F215" s="189">
        <v>1556.91</v>
      </c>
      <c r="H215" s="164"/>
    </row>
    <row r="216" spans="2:8" s="163" customFormat="1" ht="16.95" customHeight="1" x14ac:dyDescent="0.25">
      <c r="B216" s="164"/>
      <c r="C216" s="188" t="s">
        <v>1107</v>
      </c>
      <c r="D216" s="188" t="s">
        <v>1667</v>
      </c>
      <c r="E216" s="157" t="s">
        <v>15</v>
      </c>
      <c r="F216" s="189">
        <v>66.42</v>
      </c>
      <c r="H216" s="164"/>
    </row>
    <row r="217" spans="2:8" s="163" customFormat="1" ht="16.95" customHeight="1" x14ac:dyDescent="0.25">
      <c r="B217" s="164"/>
      <c r="C217" s="188" t="s">
        <v>1486</v>
      </c>
      <c r="D217" s="188" t="s">
        <v>1632</v>
      </c>
      <c r="E217" s="157" t="s">
        <v>15</v>
      </c>
      <c r="F217" s="189">
        <v>2937.0749999999998</v>
      </c>
      <c r="H217" s="164"/>
    </row>
    <row r="218" spans="2:8" s="163" customFormat="1" ht="16.95" customHeight="1" x14ac:dyDescent="0.25">
      <c r="B218" s="164"/>
      <c r="C218" s="188" t="s">
        <v>1519</v>
      </c>
      <c r="D218" s="188" t="s">
        <v>1633</v>
      </c>
      <c r="E218" s="157" t="s">
        <v>15</v>
      </c>
      <c r="F218" s="189">
        <v>3114.4549999999999</v>
      </c>
      <c r="H218" s="164"/>
    </row>
    <row r="219" spans="2:8" s="163" customFormat="1" ht="16.95" customHeight="1" x14ac:dyDescent="0.25">
      <c r="B219" s="164"/>
      <c r="C219" s="188" t="s">
        <v>1117</v>
      </c>
      <c r="D219" s="188" t="s">
        <v>1118</v>
      </c>
      <c r="E219" s="157" t="s">
        <v>15</v>
      </c>
      <c r="F219" s="189">
        <v>28.201000000000001</v>
      </c>
      <c r="H219" s="164"/>
    </row>
    <row r="220" spans="2:8" s="163" customFormat="1" ht="16.95" customHeight="1" x14ac:dyDescent="0.25">
      <c r="B220" s="164"/>
      <c r="C220" s="184" t="s">
        <v>746</v>
      </c>
      <c r="D220" s="185" t="s">
        <v>747</v>
      </c>
      <c r="E220" s="186" t="s">
        <v>15</v>
      </c>
      <c r="F220" s="187">
        <v>411.88</v>
      </c>
      <c r="H220" s="164"/>
    </row>
    <row r="221" spans="2:8" s="163" customFormat="1" ht="16.95" customHeight="1" x14ac:dyDescent="0.25">
      <c r="B221" s="164"/>
      <c r="C221" s="188" t="s">
        <v>725</v>
      </c>
      <c r="D221" s="188" t="s">
        <v>1672</v>
      </c>
      <c r="E221" s="157" t="s">
        <v>725</v>
      </c>
      <c r="F221" s="189">
        <v>411.88</v>
      </c>
      <c r="H221" s="164"/>
    </row>
    <row r="222" spans="2:8" s="163" customFormat="1" ht="16.95" customHeight="1" x14ac:dyDescent="0.25">
      <c r="B222" s="164"/>
      <c r="C222" s="190" t="s">
        <v>1621</v>
      </c>
      <c r="H222" s="164"/>
    </row>
    <row r="223" spans="2:8" s="163" customFormat="1" ht="16.95" customHeight="1" x14ac:dyDescent="0.25">
      <c r="B223" s="164"/>
      <c r="C223" s="188" t="s">
        <v>878</v>
      </c>
      <c r="D223" s="188" t="s">
        <v>1624</v>
      </c>
      <c r="E223" s="157" t="s">
        <v>15</v>
      </c>
      <c r="F223" s="189">
        <v>2918.4650000000001</v>
      </c>
      <c r="H223" s="164"/>
    </row>
    <row r="224" spans="2:8" s="163" customFormat="1" ht="16.95" customHeight="1" x14ac:dyDescent="0.25">
      <c r="B224" s="164"/>
      <c r="C224" s="188" t="s">
        <v>1031</v>
      </c>
      <c r="D224" s="188" t="s">
        <v>1637</v>
      </c>
      <c r="E224" s="157" t="s">
        <v>15</v>
      </c>
      <c r="F224" s="189">
        <v>724.48500000000001</v>
      </c>
      <c r="H224" s="164"/>
    </row>
    <row r="225" spans="2:8" s="163" customFormat="1" ht="16.95" customHeight="1" x14ac:dyDescent="0.25">
      <c r="B225" s="164"/>
      <c r="C225" s="188" t="s">
        <v>1093</v>
      </c>
      <c r="D225" s="188" t="s">
        <v>1673</v>
      </c>
      <c r="E225" s="157" t="s">
        <v>15</v>
      </c>
      <c r="F225" s="189">
        <v>505.81</v>
      </c>
      <c r="H225" s="164"/>
    </row>
    <row r="226" spans="2:8" s="163" customFormat="1" ht="16.95" customHeight="1" x14ac:dyDescent="0.25">
      <c r="B226" s="164"/>
      <c r="C226" s="188" t="s">
        <v>1486</v>
      </c>
      <c r="D226" s="188" t="s">
        <v>1632</v>
      </c>
      <c r="E226" s="157" t="s">
        <v>15</v>
      </c>
      <c r="F226" s="189">
        <v>2937.0749999999998</v>
      </c>
      <c r="H226" s="164"/>
    </row>
    <row r="227" spans="2:8" s="163" customFormat="1" ht="16.95" customHeight="1" x14ac:dyDescent="0.25">
      <c r="B227" s="164"/>
      <c r="C227" s="188" t="s">
        <v>1519</v>
      </c>
      <c r="D227" s="188" t="s">
        <v>1633</v>
      </c>
      <c r="E227" s="157" t="s">
        <v>15</v>
      </c>
      <c r="F227" s="189">
        <v>3114.4549999999999</v>
      </c>
      <c r="H227" s="164"/>
    </row>
    <row r="228" spans="2:8" s="163" customFormat="1" ht="16.95" customHeight="1" x14ac:dyDescent="0.25">
      <c r="B228" s="164"/>
      <c r="C228" s="188" t="s">
        <v>1098</v>
      </c>
      <c r="D228" s="188" t="s">
        <v>1099</v>
      </c>
      <c r="E228" s="157" t="s">
        <v>15</v>
      </c>
      <c r="F228" s="189">
        <v>476.79899999999998</v>
      </c>
      <c r="H228" s="164"/>
    </row>
    <row r="229" spans="2:8" s="163" customFormat="1" ht="16.95" customHeight="1" x14ac:dyDescent="0.25">
      <c r="B229" s="164"/>
      <c r="C229" s="184" t="s">
        <v>749</v>
      </c>
      <c r="D229" s="185" t="s">
        <v>750</v>
      </c>
      <c r="E229" s="186" t="s">
        <v>15</v>
      </c>
      <c r="F229" s="187">
        <v>33.229999999999997</v>
      </c>
      <c r="H229" s="164"/>
    </row>
    <row r="230" spans="2:8" s="163" customFormat="1" ht="16.95" customHeight="1" x14ac:dyDescent="0.25">
      <c r="B230" s="164"/>
      <c r="C230" s="188" t="s">
        <v>725</v>
      </c>
      <c r="D230" s="188" t="s">
        <v>1674</v>
      </c>
      <c r="E230" s="157" t="s">
        <v>725</v>
      </c>
      <c r="F230" s="189">
        <v>33.229999999999997</v>
      </c>
      <c r="H230" s="164"/>
    </row>
    <row r="231" spans="2:8" s="163" customFormat="1" ht="16.95" customHeight="1" x14ac:dyDescent="0.25">
      <c r="B231" s="164"/>
      <c r="C231" s="190" t="s">
        <v>1621</v>
      </c>
      <c r="H231" s="164"/>
    </row>
    <row r="232" spans="2:8" s="163" customFormat="1" ht="16.95" customHeight="1" x14ac:dyDescent="0.25">
      <c r="B232" s="164"/>
      <c r="C232" s="188" t="s">
        <v>878</v>
      </c>
      <c r="D232" s="188" t="s">
        <v>1624</v>
      </c>
      <c r="E232" s="157" t="s">
        <v>15</v>
      </c>
      <c r="F232" s="189">
        <v>2918.4650000000001</v>
      </c>
      <c r="H232" s="164"/>
    </row>
    <row r="233" spans="2:8" s="163" customFormat="1" ht="16.95" customHeight="1" x14ac:dyDescent="0.25">
      <c r="B233" s="164"/>
      <c r="C233" s="188" t="s">
        <v>1031</v>
      </c>
      <c r="D233" s="188" t="s">
        <v>1637</v>
      </c>
      <c r="E233" s="157" t="s">
        <v>15</v>
      </c>
      <c r="F233" s="189">
        <v>724.48500000000001</v>
      </c>
      <c r="H233" s="164"/>
    </row>
    <row r="234" spans="2:8" s="163" customFormat="1" ht="16.95" customHeight="1" x14ac:dyDescent="0.25">
      <c r="B234" s="164"/>
      <c r="C234" s="188" t="s">
        <v>1093</v>
      </c>
      <c r="D234" s="188" t="s">
        <v>1673</v>
      </c>
      <c r="E234" s="157" t="s">
        <v>15</v>
      </c>
      <c r="F234" s="189">
        <v>505.81</v>
      </c>
      <c r="H234" s="164"/>
    </row>
    <row r="235" spans="2:8" s="163" customFormat="1" ht="16.95" customHeight="1" x14ac:dyDescent="0.25">
      <c r="B235" s="164"/>
      <c r="C235" s="188" t="s">
        <v>1486</v>
      </c>
      <c r="D235" s="188" t="s">
        <v>1632</v>
      </c>
      <c r="E235" s="157" t="s">
        <v>15</v>
      </c>
      <c r="F235" s="189">
        <v>2937.0749999999998</v>
      </c>
      <c r="H235" s="164"/>
    </row>
    <row r="236" spans="2:8" s="163" customFormat="1" ht="16.95" customHeight="1" x14ac:dyDescent="0.25">
      <c r="B236" s="164"/>
      <c r="C236" s="188" t="s">
        <v>1519</v>
      </c>
      <c r="D236" s="188" t="s">
        <v>1633</v>
      </c>
      <c r="E236" s="157" t="s">
        <v>15</v>
      </c>
      <c r="F236" s="189">
        <v>3114.4549999999999</v>
      </c>
      <c r="H236" s="164"/>
    </row>
    <row r="237" spans="2:8" s="163" customFormat="1" ht="16.95" customHeight="1" x14ac:dyDescent="0.25">
      <c r="B237" s="164"/>
      <c r="C237" s="188" t="s">
        <v>1098</v>
      </c>
      <c r="D237" s="188" t="s">
        <v>1099</v>
      </c>
      <c r="E237" s="157" t="s">
        <v>15</v>
      </c>
      <c r="F237" s="189">
        <v>476.79899999999998</v>
      </c>
      <c r="H237" s="164"/>
    </row>
    <row r="238" spans="2:8" s="163" customFormat="1" ht="16.95" customHeight="1" x14ac:dyDescent="0.25">
      <c r="B238" s="164"/>
      <c r="C238" s="184" t="s">
        <v>809</v>
      </c>
      <c r="D238" s="185" t="s">
        <v>810</v>
      </c>
      <c r="E238" s="186" t="s">
        <v>15</v>
      </c>
      <c r="F238" s="187">
        <v>19.7</v>
      </c>
      <c r="H238" s="164"/>
    </row>
    <row r="239" spans="2:8" s="163" customFormat="1" ht="16.95" customHeight="1" x14ac:dyDescent="0.25">
      <c r="B239" s="164"/>
      <c r="C239" s="188" t="s">
        <v>725</v>
      </c>
      <c r="D239" s="188" t="s">
        <v>1675</v>
      </c>
      <c r="E239" s="157" t="s">
        <v>725</v>
      </c>
      <c r="F239" s="189">
        <v>19.7</v>
      </c>
      <c r="H239" s="164"/>
    </row>
    <row r="240" spans="2:8" s="163" customFormat="1" ht="16.95" customHeight="1" x14ac:dyDescent="0.25">
      <c r="B240" s="164"/>
      <c r="C240" s="190" t="s">
        <v>1621</v>
      </c>
      <c r="H240" s="164"/>
    </row>
    <row r="241" spans="2:8" s="163" customFormat="1" ht="16.95" customHeight="1" x14ac:dyDescent="0.25">
      <c r="B241" s="164"/>
      <c r="C241" s="188" t="s">
        <v>878</v>
      </c>
      <c r="D241" s="188" t="s">
        <v>1624</v>
      </c>
      <c r="E241" s="157" t="s">
        <v>15</v>
      </c>
      <c r="F241" s="189">
        <v>2918.4650000000001</v>
      </c>
      <c r="H241" s="164"/>
    </row>
    <row r="242" spans="2:8" s="163" customFormat="1" ht="16.95" customHeight="1" x14ac:dyDescent="0.25">
      <c r="B242" s="164"/>
      <c r="C242" s="188" t="s">
        <v>1031</v>
      </c>
      <c r="D242" s="188" t="s">
        <v>1637</v>
      </c>
      <c r="E242" s="157" t="s">
        <v>15</v>
      </c>
      <c r="F242" s="189">
        <v>724.48500000000001</v>
      </c>
      <c r="H242" s="164"/>
    </row>
    <row r="243" spans="2:8" s="163" customFormat="1" ht="16.95" customHeight="1" x14ac:dyDescent="0.25">
      <c r="B243" s="164"/>
      <c r="C243" s="188" t="s">
        <v>1334</v>
      </c>
      <c r="D243" s="188" t="s">
        <v>1647</v>
      </c>
      <c r="E243" s="157" t="s">
        <v>140</v>
      </c>
      <c r="F243" s="189">
        <v>244.63900000000001</v>
      </c>
      <c r="H243" s="164"/>
    </row>
    <row r="244" spans="2:8" s="163" customFormat="1" ht="16.95" customHeight="1" x14ac:dyDescent="0.25">
      <c r="B244" s="164"/>
      <c r="C244" s="188" t="s">
        <v>1486</v>
      </c>
      <c r="D244" s="188" t="s">
        <v>1632</v>
      </c>
      <c r="E244" s="157" t="s">
        <v>15</v>
      </c>
      <c r="F244" s="189">
        <v>2937.0749999999998</v>
      </c>
      <c r="H244" s="164"/>
    </row>
    <row r="245" spans="2:8" s="163" customFormat="1" ht="16.95" customHeight="1" x14ac:dyDescent="0.25">
      <c r="B245" s="164"/>
      <c r="C245" s="188" t="s">
        <v>1519</v>
      </c>
      <c r="D245" s="188" t="s">
        <v>1633</v>
      </c>
      <c r="E245" s="157" t="s">
        <v>15</v>
      </c>
      <c r="F245" s="189">
        <v>3114.4549999999999</v>
      </c>
      <c r="H245" s="164"/>
    </row>
    <row r="246" spans="2:8" s="163" customFormat="1" ht="16.95" customHeight="1" x14ac:dyDescent="0.25">
      <c r="B246" s="164"/>
      <c r="C246" s="188" t="s">
        <v>1354</v>
      </c>
      <c r="D246" s="188" t="s">
        <v>1355</v>
      </c>
      <c r="E246" s="157" t="s">
        <v>15</v>
      </c>
      <c r="F246" s="189">
        <v>43.311999999999998</v>
      </c>
      <c r="H246" s="164"/>
    </row>
    <row r="247" spans="2:8" s="163" customFormat="1" ht="16.95" customHeight="1" x14ac:dyDescent="0.25">
      <c r="B247" s="164"/>
      <c r="C247" s="184" t="s">
        <v>814</v>
      </c>
      <c r="D247" s="185" t="s">
        <v>815</v>
      </c>
      <c r="E247" s="186" t="s">
        <v>15</v>
      </c>
      <c r="F247" s="187">
        <v>11.82</v>
      </c>
      <c r="H247" s="164"/>
    </row>
    <row r="248" spans="2:8" s="163" customFormat="1" ht="16.95" customHeight="1" x14ac:dyDescent="0.25">
      <c r="B248" s="164"/>
      <c r="C248" s="188" t="s">
        <v>725</v>
      </c>
      <c r="D248" s="188" t="s">
        <v>1676</v>
      </c>
      <c r="E248" s="157" t="s">
        <v>725</v>
      </c>
      <c r="F248" s="189">
        <v>11.82</v>
      </c>
      <c r="H248" s="164"/>
    </row>
    <row r="249" spans="2:8" s="163" customFormat="1" ht="16.95" customHeight="1" x14ac:dyDescent="0.25">
      <c r="B249" s="164"/>
      <c r="C249" s="190" t="s">
        <v>1621</v>
      </c>
      <c r="H249" s="164"/>
    </row>
    <row r="250" spans="2:8" s="163" customFormat="1" ht="16.95" customHeight="1" x14ac:dyDescent="0.25">
      <c r="B250" s="164"/>
      <c r="C250" s="188" t="s">
        <v>878</v>
      </c>
      <c r="D250" s="188" t="s">
        <v>1624</v>
      </c>
      <c r="E250" s="157" t="s">
        <v>15</v>
      </c>
      <c r="F250" s="189">
        <v>2918.4650000000001</v>
      </c>
      <c r="H250" s="164"/>
    </row>
    <row r="251" spans="2:8" s="163" customFormat="1" ht="16.95" customHeight="1" x14ac:dyDescent="0.25">
      <c r="B251" s="164"/>
      <c r="C251" s="188" t="s">
        <v>1031</v>
      </c>
      <c r="D251" s="188" t="s">
        <v>1637</v>
      </c>
      <c r="E251" s="157" t="s">
        <v>15</v>
      </c>
      <c r="F251" s="189">
        <v>724.48500000000001</v>
      </c>
      <c r="H251" s="164"/>
    </row>
    <row r="252" spans="2:8" s="163" customFormat="1" ht="16.95" customHeight="1" x14ac:dyDescent="0.25">
      <c r="B252" s="164"/>
      <c r="C252" s="188" t="s">
        <v>1107</v>
      </c>
      <c r="D252" s="188" t="s">
        <v>1667</v>
      </c>
      <c r="E252" s="157" t="s">
        <v>15</v>
      </c>
      <c r="F252" s="189">
        <v>66.42</v>
      </c>
      <c r="H252" s="164"/>
    </row>
    <row r="253" spans="2:8" s="163" customFormat="1" ht="16.95" customHeight="1" x14ac:dyDescent="0.25">
      <c r="B253" s="164"/>
      <c r="C253" s="188" t="s">
        <v>1486</v>
      </c>
      <c r="D253" s="188" t="s">
        <v>1632</v>
      </c>
      <c r="E253" s="157" t="s">
        <v>15</v>
      </c>
      <c r="F253" s="189">
        <v>2937.0749999999998</v>
      </c>
      <c r="H253" s="164"/>
    </row>
    <row r="254" spans="2:8" s="163" customFormat="1" ht="16.95" customHeight="1" x14ac:dyDescent="0.25">
      <c r="B254" s="164"/>
      <c r="C254" s="188" t="s">
        <v>1519</v>
      </c>
      <c r="D254" s="188" t="s">
        <v>1633</v>
      </c>
      <c r="E254" s="157" t="s">
        <v>15</v>
      </c>
      <c r="F254" s="189">
        <v>3114.4549999999999</v>
      </c>
      <c r="H254" s="164"/>
    </row>
    <row r="255" spans="2:8" s="163" customFormat="1" ht="16.95" customHeight="1" x14ac:dyDescent="0.25">
      <c r="B255" s="164"/>
      <c r="C255" s="188" t="s">
        <v>1117</v>
      </c>
      <c r="D255" s="188" t="s">
        <v>1118</v>
      </c>
      <c r="E255" s="157" t="s">
        <v>15</v>
      </c>
      <c r="F255" s="189">
        <v>28.201000000000001</v>
      </c>
      <c r="H255" s="164"/>
    </row>
    <row r="256" spans="2:8" s="163" customFormat="1" ht="16.95" customHeight="1" x14ac:dyDescent="0.25">
      <c r="B256" s="164"/>
      <c r="C256" s="184" t="s">
        <v>753</v>
      </c>
      <c r="D256" s="185" t="s">
        <v>754</v>
      </c>
      <c r="E256" s="186" t="s">
        <v>15</v>
      </c>
      <c r="F256" s="187">
        <v>22.34</v>
      </c>
      <c r="H256" s="164"/>
    </row>
    <row r="257" spans="2:8" s="163" customFormat="1" ht="16.95" customHeight="1" x14ac:dyDescent="0.25">
      <c r="B257" s="164"/>
      <c r="C257" s="188" t="s">
        <v>725</v>
      </c>
      <c r="D257" s="188" t="s">
        <v>1677</v>
      </c>
      <c r="E257" s="157" t="s">
        <v>725</v>
      </c>
      <c r="F257" s="189">
        <v>22.34</v>
      </c>
      <c r="H257" s="164"/>
    </row>
    <row r="258" spans="2:8" s="163" customFormat="1" ht="16.95" customHeight="1" x14ac:dyDescent="0.25">
      <c r="B258" s="164"/>
      <c r="C258" s="190" t="s">
        <v>1621</v>
      </c>
      <c r="H258" s="164"/>
    </row>
    <row r="259" spans="2:8" s="163" customFormat="1" ht="16.95" customHeight="1" x14ac:dyDescent="0.25">
      <c r="B259" s="164"/>
      <c r="C259" s="188" t="s">
        <v>878</v>
      </c>
      <c r="D259" s="188" t="s">
        <v>1624</v>
      </c>
      <c r="E259" s="157" t="s">
        <v>15</v>
      </c>
      <c r="F259" s="189">
        <v>2918.4650000000001</v>
      </c>
      <c r="H259" s="164"/>
    </row>
    <row r="260" spans="2:8" s="163" customFormat="1" ht="16.95" customHeight="1" x14ac:dyDescent="0.25">
      <c r="B260" s="164"/>
      <c r="C260" s="188" t="s">
        <v>1093</v>
      </c>
      <c r="D260" s="188" t="s">
        <v>1673</v>
      </c>
      <c r="E260" s="157" t="s">
        <v>15</v>
      </c>
      <c r="F260" s="189">
        <v>505.81</v>
      </c>
      <c r="H260" s="164"/>
    </row>
    <row r="261" spans="2:8" s="163" customFormat="1" ht="16.95" customHeight="1" x14ac:dyDescent="0.25">
      <c r="B261" s="164"/>
      <c r="C261" s="188" t="s">
        <v>1519</v>
      </c>
      <c r="D261" s="188" t="s">
        <v>1633</v>
      </c>
      <c r="E261" s="157" t="s">
        <v>15</v>
      </c>
      <c r="F261" s="189">
        <v>3114.4549999999999</v>
      </c>
      <c r="H261" s="164"/>
    </row>
    <row r="262" spans="2:8" s="163" customFormat="1" ht="16.95" customHeight="1" x14ac:dyDescent="0.25">
      <c r="B262" s="164"/>
      <c r="C262" s="188" t="s">
        <v>1098</v>
      </c>
      <c r="D262" s="188" t="s">
        <v>1099</v>
      </c>
      <c r="E262" s="157" t="s">
        <v>15</v>
      </c>
      <c r="F262" s="189">
        <v>476.79899999999998</v>
      </c>
      <c r="H262" s="164"/>
    </row>
    <row r="263" spans="2:8" s="163" customFormat="1" ht="16.95" customHeight="1" x14ac:dyDescent="0.25">
      <c r="B263" s="164"/>
      <c r="C263" s="184" t="s">
        <v>756</v>
      </c>
      <c r="D263" s="185" t="s">
        <v>757</v>
      </c>
      <c r="E263" s="186" t="s">
        <v>15</v>
      </c>
      <c r="F263" s="187">
        <v>38.36</v>
      </c>
      <c r="H263" s="164"/>
    </row>
    <row r="264" spans="2:8" s="163" customFormat="1" ht="16.95" customHeight="1" x14ac:dyDescent="0.25">
      <c r="B264" s="164"/>
      <c r="C264" s="188" t="s">
        <v>725</v>
      </c>
      <c r="D264" s="188" t="s">
        <v>1678</v>
      </c>
      <c r="E264" s="157" t="s">
        <v>725</v>
      </c>
      <c r="F264" s="189">
        <v>38.36</v>
      </c>
      <c r="H264" s="164"/>
    </row>
    <row r="265" spans="2:8" s="163" customFormat="1" ht="16.95" customHeight="1" x14ac:dyDescent="0.25">
      <c r="B265" s="164"/>
      <c r="C265" s="190" t="s">
        <v>1621</v>
      </c>
      <c r="H265" s="164"/>
    </row>
    <row r="266" spans="2:8" s="163" customFormat="1" ht="16.95" customHeight="1" x14ac:dyDescent="0.25">
      <c r="B266" s="164"/>
      <c r="C266" s="188" t="s">
        <v>1051</v>
      </c>
      <c r="D266" s="188" t="s">
        <v>1652</v>
      </c>
      <c r="E266" s="157" t="s">
        <v>15</v>
      </c>
      <c r="F266" s="189">
        <v>110.86</v>
      </c>
      <c r="H266" s="164"/>
    </row>
    <row r="267" spans="2:8" s="163" customFormat="1" ht="16.95" customHeight="1" x14ac:dyDescent="0.25">
      <c r="B267" s="164"/>
      <c r="C267" s="188" t="s">
        <v>1093</v>
      </c>
      <c r="D267" s="188" t="s">
        <v>1673</v>
      </c>
      <c r="E267" s="157" t="s">
        <v>15</v>
      </c>
      <c r="F267" s="189">
        <v>505.81</v>
      </c>
      <c r="H267" s="164"/>
    </row>
    <row r="268" spans="2:8" s="163" customFormat="1" ht="16.95" customHeight="1" x14ac:dyDescent="0.25">
      <c r="B268" s="164"/>
      <c r="C268" s="188" t="s">
        <v>1519</v>
      </c>
      <c r="D268" s="188" t="s">
        <v>1633</v>
      </c>
      <c r="E268" s="157" t="s">
        <v>15</v>
      </c>
      <c r="F268" s="189">
        <v>3114.4549999999999</v>
      </c>
      <c r="H268" s="164"/>
    </row>
    <row r="269" spans="2:8" s="163" customFormat="1" ht="16.95" customHeight="1" x14ac:dyDescent="0.25">
      <c r="B269" s="164"/>
      <c r="C269" s="188" t="s">
        <v>1569</v>
      </c>
      <c r="D269" s="188" t="s">
        <v>1679</v>
      </c>
      <c r="E269" s="157" t="s">
        <v>15</v>
      </c>
      <c r="F269" s="189">
        <v>38.36</v>
      </c>
      <c r="H269" s="164"/>
    </row>
    <row r="270" spans="2:8" s="163" customFormat="1" ht="16.95" customHeight="1" x14ac:dyDescent="0.25">
      <c r="B270" s="164"/>
      <c r="C270" s="184" t="s">
        <v>759</v>
      </c>
      <c r="D270" s="185" t="s">
        <v>760</v>
      </c>
      <c r="E270" s="186" t="s">
        <v>15</v>
      </c>
      <c r="F270" s="187">
        <v>30.16</v>
      </c>
      <c r="H270" s="164"/>
    </row>
    <row r="271" spans="2:8" s="163" customFormat="1" ht="16.95" customHeight="1" x14ac:dyDescent="0.25">
      <c r="B271" s="164"/>
      <c r="C271" s="188" t="s">
        <v>725</v>
      </c>
      <c r="D271" s="188" t="s">
        <v>1680</v>
      </c>
      <c r="E271" s="157" t="s">
        <v>725</v>
      </c>
      <c r="F271" s="189">
        <v>30.16</v>
      </c>
      <c r="H271" s="164"/>
    </row>
    <row r="272" spans="2:8" s="163" customFormat="1" ht="16.95" customHeight="1" x14ac:dyDescent="0.25">
      <c r="B272" s="164"/>
      <c r="C272" s="190" t="s">
        <v>1621</v>
      </c>
      <c r="H272" s="164"/>
    </row>
    <row r="273" spans="2:8" s="163" customFormat="1" ht="16.95" customHeight="1" x14ac:dyDescent="0.25">
      <c r="B273" s="164"/>
      <c r="C273" s="188" t="s">
        <v>878</v>
      </c>
      <c r="D273" s="188" t="s">
        <v>1624</v>
      </c>
      <c r="E273" s="157" t="s">
        <v>15</v>
      </c>
      <c r="F273" s="189">
        <v>2918.4650000000001</v>
      </c>
      <c r="H273" s="164"/>
    </row>
    <row r="274" spans="2:8" s="163" customFormat="1" ht="16.95" customHeight="1" x14ac:dyDescent="0.25">
      <c r="B274" s="164"/>
      <c r="C274" s="188" t="s">
        <v>1031</v>
      </c>
      <c r="D274" s="188" t="s">
        <v>1637</v>
      </c>
      <c r="E274" s="157" t="s">
        <v>15</v>
      </c>
      <c r="F274" s="189">
        <v>724.48500000000001</v>
      </c>
      <c r="H274" s="164"/>
    </row>
    <row r="275" spans="2:8" s="163" customFormat="1" ht="16.95" customHeight="1" x14ac:dyDescent="0.25">
      <c r="B275" s="164"/>
      <c r="C275" s="188" t="s">
        <v>1107</v>
      </c>
      <c r="D275" s="188" t="s">
        <v>1667</v>
      </c>
      <c r="E275" s="157" t="s">
        <v>15</v>
      </c>
      <c r="F275" s="189">
        <v>66.42</v>
      </c>
      <c r="H275" s="164"/>
    </row>
    <row r="276" spans="2:8" s="163" customFormat="1" ht="16.95" customHeight="1" x14ac:dyDescent="0.25">
      <c r="B276" s="164"/>
      <c r="C276" s="188" t="s">
        <v>1486</v>
      </c>
      <c r="D276" s="188" t="s">
        <v>1632</v>
      </c>
      <c r="E276" s="157" t="s">
        <v>15</v>
      </c>
      <c r="F276" s="189">
        <v>2937.0749999999998</v>
      </c>
      <c r="H276" s="164"/>
    </row>
    <row r="277" spans="2:8" s="163" customFormat="1" ht="16.95" customHeight="1" x14ac:dyDescent="0.25">
      <c r="B277" s="164"/>
      <c r="C277" s="188" t="s">
        <v>1519</v>
      </c>
      <c r="D277" s="188" t="s">
        <v>1633</v>
      </c>
      <c r="E277" s="157" t="s">
        <v>15</v>
      </c>
      <c r="F277" s="189">
        <v>3114.4549999999999</v>
      </c>
      <c r="H277" s="164"/>
    </row>
    <row r="278" spans="2:8" s="163" customFormat="1" ht="16.95" customHeight="1" x14ac:dyDescent="0.25">
      <c r="B278" s="164"/>
      <c r="C278" s="188" t="s">
        <v>1112</v>
      </c>
      <c r="D278" s="188" t="s">
        <v>1113</v>
      </c>
      <c r="E278" s="157" t="s">
        <v>15</v>
      </c>
      <c r="F278" s="189">
        <v>31.065000000000001</v>
      </c>
      <c r="H278" s="164"/>
    </row>
    <row r="279" spans="2:8" s="163" customFormat="1" ht="16.95" customHeight="1" x14ac:dyDescent="0.25">
      <c r="B279" s="164"/>
      <c r="C279" s="184" t="s">
        <v>763</v>
      </c>
      <c r="D279" s="185" t="s">
        <v>764</v>
      </c>
      <c r="E279" s="186" t="s">
        <v>15</v>
      </c>
      <c r="F279" s="187">
        <v>8.8800000000000008</v>
      </c>
      <c r="H279" s="164"/>
    </row>
    <row r="280" spans="2:8" s="163" customFormat="1" ht="16.95" customHeight="1" x14ac:dyDescent="0.25">
      <c r="B280" s="164"/>
      <c r="C280" s="188" t="s">
        <v>725</v>
      </c>
      <c r="D280" s="188" t="s">
        <v>1681</v>
      </c>
      <c r="E280" s="157" t="s">
        <v>725</v>
      </c>
      <c r="F280" s="189">
        <v>8.8800000000000008</v>
      </c>
      <c r="H280" s="164"/>
    </row>
    <row r="281" spans="2:8" s="163" customFormat="1" ht="16.95" customHeight="1" x14ac:dyDescent="0.25">
      <c r="B281" s="164"/>
      <c r="C281" s="190" t="s">
        <v>1621</v>
      </c>
      <c r="H281" s="164"/>
    </row>
    <row r="282" spans="2:8" s="163" customFormat="1" ht="16.95" customHeight="1" x14ac:dyDescent="0.25">
      <c r="B282" s="164"/>
      <c r="C282" s="188" t="s">
        <v>1051</v>
      </c>
      <c r="D282" s="188" t="s">
        <v>1652</v>
      </c>
      <c r="E282" s="157" t="s">
        <v>15</v>
      </c>
      <c r="F282" s="189">
        <v>110.86</v>
      </c>
      <c r="H282" s="164"/>
    </row>
    <row r="283" spans="2:8" s="163" customFormat="1" ht="16.95" customHeight="1" x14ac:dyDescent="0.25">
      <c r="B283" s="164"/>
      <c r="C283" s="188" t="s">
        <v>1107</v>
      </c>
      <c r="D283" s="188" t="s">
        <v>1667</v>
      </c>
      <c r="E283" s="157" t="s">
        <v>15</v>
      </c>
      <c r="F283" s="189">
        <v>66.42</v>
      </c>
      <c r="H283" s="164"/>
    </row>
    <row r="284" spans="2:8" s="163" customFormat="1" ht="16.95" customHeight="1" x14ac:dyDescent="0.25">
      <c r="B284" s="164"/>
      <c r="C284" s="188" t="s">
        <v>1519</v>
      </c>
      <c r="D284" s="188" t="s">
        <v>1633</v>
      </c>
      <c r="E284" s="157" t="s">
        <v>15</v>
      </c>
      <c r="F284" s="189">
        <v>3114.4549999999999</v>
      </c>
      <c r="H284" s="164"/>
    </row>
    <row r="285" spans="2:8" s="163" customFormat="1" ht="16.95" customHeight="1" x14ac:dyDescent="0.25">
      <c r="B285" s="164"/>
      <c r="C285" s="188" t="s">
        <v>1564</v>
      </c>
      <c r="D285" s="188" t="s">
        <v>1653</v>
      </c>
      <c r="E285" s="157" t="s">
        <v>15</v>
      </c>
      <c r="F285" s="189">
        <v>72.5</v>
      </c>
      <c r="H285" s="164"/>
    </row>
    <row r="286" spans="2:8" s="163" customFormat="1" ht="16.95" customHeight="1" x14ac:dyDescent="0.25">
      <c r="B286" s="164"/>
      <c r="C286" s="184" t="s">
        <v>818</v>
      </c>
      <c r="D286" s="185" t="s">
        <v>819</v>
      </c>
      <c r="E286" s="186" t="s">
        <v>15</v>
      </c>
      <c r="F286" s="187">
        <v>8.14</v>
      </c>
      <c r="H286" s="164"/>
    </row>
    <row r="287" spans="2:8" s="163" customFormat="1" ht="16.95" customHeight="1" x14ac:dyDescent="0.25">
      <c r="B287" s="164"/>
      <c r="C287" s="188" t="s">
        <v>725</v>
      </c>
      <c r="D287" s="188" t="s">
        <v>1682</v>
      </c>
      <c r="E287" s="157" t="s">
        <v>725</v>
      </c>
      <c r="F287" s="189">
        <v>8.14</v>
      </c>
      <c r="H287" s="164"/>
    </row>
    <row r="288" spans="2:8" s="163" customFormat="1" ht="16.95" customHeight="1" x14ac:dyDescent="0.25">
      <c r="B288" s="164"/>
      <c r="C288" s="190" t="s">
        <v>1621</v>
      </c>
      <c r="H288" s="164"/>
    </row>
    <row r="289" spans="2:8" s="163" customFormat="1" ht="16.95" customHeight="1" x14ac:dyDescent="0.25">
      <c r="B289" s="164"/>
      <c r="C289" s="188" t="s">
        <v>878</v>
      </c>
      <c r="D289" s="188" t="s">
        <v>1624</v>
      </c>
      <c r="E289" s="157" t="s">
        <v>15</v>
      </c>
      <c r="F289" s="189">
        <v>2918.4650000000001</v>
      </c>
      <c r="H289" s="164"/>
    </row>
    <row r="290" spans="2:8" s="163" customFormat="1" ht="16.95" customHeight="1" x14ac:dyDescent="0.25">
      <c r="B290" s="164"/>
      <c r="C290" s="188" t="s">
        <v>1031</v>
      </c>
      <c r="D290" s="188" t="s">
        <v>1637</v>
      </c>
      <c r="E290" s="157" t="s">
        <v>15</v>
      </c>
      <c r="F290" s="189">
        <v>724.48500000000001</v>
      </c>
      <c r="H290" s="164"/>
    </row>
    <row r="291" spans="2:8" s="163" customFormat="1" ht="16.95" customHeight="1" x14ac:dyDescent="0.25">
      <c r="B291" s="164"/>
      <c r="C291" s="188" t="s">
        <v>1107</v>
      </c>
      <c r="D291" s="188" t="s">
        <v>1667</v>
      </c>
      <c r="E291" s="157" t="s">
        <v>15</v>
      </c>
      <c r="F291" s="189">
        <v>66.42</v>
      </c>
      <c r="H291" s="164"/>
    </row>
    <row r="292" spans="2:8" s="163" customFormat="1" ht="16.95" customHeight="1" x14ac:dyDescent="0.25">
      <c r="B292" s="164"/>
      <c r="C292" s="188" t="s">
        <v>1486</v>
      </c>
      <c r="D292" s="188" t="s">
        <v>1632</v>
      </c>
      <c r="E292" s="157" t="s">
        <v>15</v>
      </c>
      <c r="F292" s="189">
        <v>2937.0749999999998</v>
      </c>
      <c r="H292" s="164"/>
    </row>
    <row r="293" spans="2:8" s="163" customFormat="1" ht="16.95" customHeight="1" x14ac:dyDescent="0.25">
      <c r="B293" s="164"/>
      <c r="C293" s="188" t="s">
        <v>1519</v>
      </c>
      <c r="D293" s="188" t="s">
        <v>1633</v>
      </c>
      <c r="E293" s="157" t="s">
        <v>15</v>
      </c>
      <c r="F293" s="189">
        <v>3114.4549999999999</v>
      </c>
      <c r="H293" s="164"/>
    </row>
    <row r="294" spans="2:8" s="163" customFormat="1" ht="16.95" customHeight="1" x14ac:dyDescent="0.25">
      <c r="B294" s="164"/>
      <c r="C294" s="188" t="s">
        <v>1117</v>
      </c>
      <c r="D294" s="188" t="s">
        <v>1118</v>
      </c>
      <c r="E294" s="157" t="s">
        <v>15</v>
      </c>
      <c r="F294" s="189">
        <v>28.201000000000001</v>
      </c>
      <c r="H294" s="164"/>
    </row>
    <row r="295" spans="2:8" s="163" customFormat="1" ht="16.95" customHeight="1" x14ac:dyDescent="0.25">
      <c r="B295" s="164"/>
      <c r="C295" s="184" t="s">
        <v>767</v>
      </c>
      <c r="D295" s="185" t="s">
        <v>768</v>
      </c>
      <c r="E295" s="186" t="s">
        <v>15</v>
      </c>
      <c r="F295" s="187">
        <v>149.35</v>
      </c>
      <c r="H295" s="164"/>
    </row>
    <row r="296" spans="2:8" s="163" customFormat="1" ht="16.95" customHeight="1" x14ac:dyDescent="0.25">
      <c r="B296" s="164"/>
      <c r="C296" s="188" t="s">
        <v>725</v>
      </c>
      <c r="D296" s="188" t="s">
        <v>1683</v>
      </c>
      <c r="E296" s="157" t="s">
        <v>725</v>
      </c>
      <c r="F296" s="189">
        <v>149.35</v>
      </c>
      <c r="H296" s="164"/>
    </row>
    <row r="297" spans="2:8" s="163" customFormat="1" ht="16.95" customHeight="1" x14ac:dyDescent="0.25">
      <c r="B297" s="164"/>
      <c r="C297" s="190" t="s">
        <v>1621</v>
      </c>
      <c r="H297" s="164"/>
    </row>
    <row r="298" spans="2:8" s="163" customFormat="1" ht="16.95" customHeight="1" x14ac:dyDescent="0.25">
      <c r="B298" s="164"/>
      <c r="C298" s="188" t="s">
        <v>878</v>
      </c>
      <c r="D298" s="188" t="s">
        <v>1624</v>
      </c>
      <c r="E298" s="157" t="s">
        <v>15</v>
      </c>
      <c r="F298" s="189">
        <v>2918.4650000000001</v>
      </c>
      <c r="H298" s="164"/>
    </row>
    <row r="299" spans="2:8" s="163" customFormat="1" ht="16.95" customHeight="1" x14ac:dyDescent="0.25">
      <c r="B299" s="164"/>
      <c r="C299" s="188" t="s">
        <v>1009</v>
      </c>
      <c r="D299" s="188" t="s">
        <v>1684</v>
      </c>
      <c r="E299" s="157" t="s">
        <v>15</v>
      </c>
      <c r="F299" s="189">
        <v>149.35</v>
      </c>
      <c r="H299" s="164"/>
    </row>
    <row r="300" spans="2:8" s="163" customFormat="1" ht="16.95" customHeight="1" x14ac:dyDescent="0.25">
      <c r="B300" s="164"/>
      <c r="C300" s="188" t="s">
        <v>1103</v>
      </c>
      <c r="D300" s="188" t="s">
        <v>1644</v>
      </c>
      <c r="E300" s="157" t="s">
        <v>15</v>
      </c>
      <c r="F300" s="189">
        <v>160.44999999999999</v>
      </c>
      <c r="H300" s="164"/>
    </row>
    <row r="301" spans="2:8" s="163" customFormat="1" ht="16.95" customHeight="1" x14ac:dyDescent="0.25">
      <c r="B301" s="164"/>
      <c r="C301" s="188" t="s">
        <v>1168</v>
      </c>
      <c r="D301" s="188" t="s">
        <v>1645</v>
      </c>
      <c r="E301" s="157" t="s">
        <v>15</v>
      </c>
      <c r="F301" s="189">
        <v>160.44999999999999</v>
      </c>
      <c r="H301" s="164"/>
    </row>
    <row r="302" spans="2:8" s="163" customFormat="1" ht="16.95" customHeight="1" x14ac:dyDescent="0.25">
      <c r="B302" s="164"/>
      <c r="C302" s="188" t="s">
        <v>1486</v>
      </c>
      <c r="D302" s="188" t="s">
        <v>1632</v>
      </c>
      <c r="E302" s="157" t="s">
        <v>15</v>
      </c>
      <c r="F302" s="189">
        <v>2937.0749999999998</v>
      </c>
      <c r="H302" s="164"/>
    </row>
    <row r="303" spans="2:8" s="163" customFormat="1" ht="16.95" customHeight="1" x14ac:dyDescent="0.25">
      <c r="B303" s="164"/>
      <c r="C303" s="188" t="s">
        <v>1519</v>
      </c>
      <c r="D303" s="188" t="s">
        <v>1633</v>
      </c>
      <c r="E303" s="157" t="s">
        <v>15</v>
      </c>
      <c r="F303" s="189">
        <v>3114.4549999999999</v>
      </c>
      <c r="H303" s="164"/>
    </row>
    <row r="304" spans="2:8" s="163" customFormat="1" ht="16.95" customHeight="1" x14ac:dyDescent="0.25">
      <c r="B304" s="164"/>
      <c r="C304" s="188" t="s">
        <v>1013</v>
      </c>
      <c r="D304" s="188" t="s">
        <v>1014</v>
      </c>
      <c r="E304" s="157" t="s">
        <v>45</v>
      </c>
      <c r="F304" s="189">
        <v>26.344999999999999</v>
      </c>
      <c r="H304" s="164"/>
    </row>
    <row r="305" spans="2:8" s="163" customFormat="1" ht="16.95" customHeight="1" x14ac:dyDescent="0.25">
      <c r="B305" s="164"/>
      <c r="C305" s="184" t="s">
        <v>770</v>
      </c>
      <c r="D305" s="185" t="s">
        <v>771</v>
      </c>
      <c r="E305" s="186" t="s">
        <v>15</v>
      </c>
      <c r="F305" s="187">
        <v>2.92</v>
      </c>
      <c r="H305" s="164"/>
    </row>
    <row r="306" spans="2:8" s="163" customFormat="1" ht="16.95" customHeight="1" x14ac:dyDescent="0.25">
      <c r="B306" s="164"/>
      <c r="C306" s="188" t="s">
        <v>725</v>
      </c>
      <c r="D306" s="188" t="s">
        <v>1685</v>
      </c>
      <c r="E306" s="157" t="s">
        <v>725</v>
      </c>
      <c r="F306" s="189">
        <v>2.92</v>
      </c>
      <c r="H306" s="164"/>
    </row>
    <row r="307" spans="2:8" s="163" customFormat="1" ht="16.95" customHeight="1" x14ac:dyDescent="0.25">
      <c r="B307" s="164"/>
      <c r="C307" s="190" t="s">
        <v>1621</v>
      </c>
      <c r="H307" s="164"/>
    </row>
    <row r="308" spans="2:8" s="163" customFormat="1" ht="16.95" customHeight="1" x14ac:dyDescent="0.25">
      <c r="B308" s="164"/>
      <c r="C308" s="188" t="s">
        <v>878</v>
      </c>
      <c r="D308" s="188" t="s">
        <v>1624</v>
      </c>
      <c r="E308" s="157" t="s">
        <v>15</v>
      </c>
      <c r="F308" s="189">
        <v>2918.4650000000001</v>
      </c>
      <c r="H308" s="164"/>
    </row>
    <row r="309" spans="2:8" s="163" customFormat="1" ht="16.95" customHeight="1" x14ac:dyDescent="0.25">
      <c r="B309" s="164"/>
      <c r="C309" s="188" t="s">
        <v>1103</v>
      </c>
      <c r="D309" s="188" t="s">
        <v>1644</v>
      </c>
      <c r="E309" s="157" t="s">
        <v>15</v>
      </c>
      <c r="F309" s="189">
        <v>160.44999999999999</v>
      </c>
      <c r="H309" s="164"/>
    </row>
    <row r="310" spans="2:8" s="163" customFormat="1" ht="16.95" customHeight="1" x14ac:dyDescent="0.25">
      <c r="B310" s="164"/>
      <c r="C310" s="188" t="s">
        <v>1168</v>
      </c>
      <c r="D310" s="188" t="s">
        <v>1645</v>
      </c>
      <c r="E310" s="157" t="s">
        <v>15</v>
      </c>
      <c r="F310" s="189">
        <v>160.44999999999999</v>
      </c>
      <c r="H310" s="164"/>
    </row>
    <row r="311" spans="2:8" s="163" customFormat="1" ht="16.95" customHeight="1" x14ac:dyDescent="0.25">
      <c r="B311" s="164"/>
      <c r="C311" s="188" t="s">
        <v>1486</v>
      </c>
      <c r="D311" s="188" t="s">
        <v>1632</v>
      </c>
      <c r="E311" s="157" t="s">
        <v>15</v>
      </c>
      <c r="F311" s="189">
        <v>2937.0749999999998</v>
      </c>
      <c r="H311" s="164"/>
    </row>
    <row r="312" spans="2:8" s="163" customFormat="1" ht="16.95" customHeight="1" x14ac:dyDescent="0.25">
      <c r="B312" s="164"/>
      <c r="C312" s="188" t="s">
        <v>1519</v>
      </c>
      <c r="D312" s="188" t="s">
        <v>1633</v>
      </c>
      <c r="E312" s="157" t="s">
        <v>15</v>
      </c>
      <c r="F312" s="189">
        <v>3114.4549999999999</v>
      </c>
      <c r="H312" s="164"/>
    </row>
    <row r="313" spans="2:8" s="163" customFormat="1" ht="7.35" customHeight="1" x14ac:dyDescent="0.25">
      <c r="B313" s="168"/>
      <c r="C313" s="169"/>
      <c r="D313" s="169"/>
      <c r="E313" s="169"/>
      <c r="F313" s="169"/>
      <c r="G313" s="169"/>
      <c r="H313" s="164"/>
    </row>
    <row r="314" spans="2:8" s="163" customFormat="1" x14ac:dyDescent="0.25"/>
  </sheetData>
  <mergeCells count="2">
    <mergeCell ref="D5:F5"/>
    <mergeCell ref="D6:F6"/>
  </mergeCells>
  <pageMargins left="0.39370078740157483" right="0.39370078740157483" top="0.59055118110236227" bottom="0.59055118110236227" header="0.31496062992125984" footer="0.31496062992125984"/>
  <pageSetup paperSize="9" scale="68" fitToHeight="100" orientation="portrait" r:id="rId1"/>
  <headerFooter>
    <oddFoote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Q156"/>
  <sheetViews>
    <sheetView topLeftCell="A144" zoomScaleNormal="100" workbookViewId="0">
      <selection activeCell="F158" sqref="F158"/>
    </sheetView>
  </sheetViews>
  <sheetFormatPr defaultRowHeight="13.2" x14ac:dyDescent="0.25"/>
  <cols>
    <col min="1" max="1" width="4.6640625" style="423" customWidth="1"/>
    <col min="2" max="2" width="11.33203125" style="109" customWidth="1"/>
    <col min="3" max="3" width="69.109375" style="27" customWidth="1"/>
    <col min="4" max="4" width="5.5546875" style="27" customWidth="1"/>
    <col min="5" max="5" width="9" style="486" bestFit="1" customWidth="1"/>
    <col min="6" max="6" width="12.109375" style="476" bestFit="1" customWidth="1"/>
    <col min="7" max="7" width="10.33203125" style="461" customWidth="1"/>
    <col min="8" max="8" width="8.88671875" style="501" customWidth="1"/>
    <col min="9" max="16384" width="8.88671875" style="27"/>
  </cols>
  <sheetData>
    <row r="1" spans="1:7" ht="13.8" x14ac:dyDescent="0.25">
      <c r="A1" s="490"/>
      <c r="B1" s="156"/>
      <c r="C1" s="491" t="s">
        <v>95</v>
      </c>
      <c r="D1" s="23"/>
      <c r="E1" s="492"/>
      <c r="F1" s="493"/>
      <c r="G1" s="99"/>
    </row>
    <row r="2" spans="1:7" x14ac:dyDescent="0.25">
      <c r="A2" s="490"/>
      <c r="C2" s="13" t="s">
        <v>96</v>
      </c>
      <c r="D2" s="23"/>
      <c r="E2" s="492"/>
      <c r="F2" s="493"/>
      <c r="G2" s="99"/>
    </row>
    <row r="3" spans="1:7" x14ac:dyDescent="0.25">
      <c r="A3" s="490"/>
      <c r="C3" s="13" t="s">
        <v>97</v>
      </c>
      <c r="D3" s="23"/>
      <c r="E3" s="492"/>
      <c r="F3" s="493"/>
      <c r="G3" s="99"/>
    </row>
    <row r="4" spans="1:7" x14ac:dyDescent="0.25">
      <c r="A4" s="490"/>
      <c r="C4" s="95"/>
      <c r="D4" s="23"/>
      <c r="E4" s="492"/>
    </row>
    <row r="5" spans="1:7" x14ac:dyDescent="0.25">
      <c r="A5" s="490"/>
      <c r="B5" s="156"/>
      <c r="C5" s="13"/>
      <c r="D5" s="23"/>
      <c r="E5" s="492"/>
    </row>
    <row r="6" spans="1:7" x14ac:dyDescent="0.25">
      <c r="A6" s="490"/>
      <c r="C6" s="13" t="s">
        <v>98</v>
      </c>
      <c r="D6" s="23"/>
      <c r="E6" s="492"/>
    </row>
    <row r="7" spans="1:7" ht="13.8" x14ac:dyDescent="0.25">
      <c r="A7" s="490"/>
      <c r="C7" s="491" t="s">
        <v>141</v>
      </c>
      <c r="D7" s="23"/>
      <c r="E7" s="492"/>
    </row>
    <row r="8" spans="1:7" x14ac:dyDescent="0.25">
      <c r="A8" s="490"/>
      <c r="C8" s="13"/>
      <c r="D8" s="23"/>
      <c r="E8" s="492"/>
    </row>
    <row r="9" spans="1:7" x14ac:dyDescent="0.25">
      <c r="A9" s="490"/>
      <c r="D9" s="23"/>
      <c r="E9" s="492"/>
    </row>
    <row r="10" spans="1:7" x14ac:dyDescent="0.25">
      <c r="A10" s="490"/>
      <c r="D10" s="23"/>
      <c r="E10" s="492"/>
    </row>
    <row r="11" spans="1:7" x14ac:dyDescent="0.25">
      <c r="A11" s="490"/>
      <c r="C11" s="13" t="s">
        <v>100</v>
      </c>
      <c r="D11" s="23"/>
      <c r="E11" s="492"/>
    </row>
    <row r="12" spans="1:7" x14ac:dyDescent="0.25">
      <c r="A12" s="490" t="s">
        <v>99</v>
      </c>
      <c r="C12" s="13"/>
      <c r="D12" s="23"/>
      <c r="E12" s="492"/>
    </row>
    <row r="13" spans="1:7" ht="13.8" x14ac:dyDescent="0.25">
      <c r="A13" s="490" t="s">
        <v>101</v>
      </c>
      <c r="C13" s="475" t="s">
        <v>141</v>
      </c>
      <c r="D13" s="23" t="s">
        <v>71</v>
      </c>
      <c r="E13" s="492"/>
      <c r="G13" s="494">
        <f>SUM(G44:G156)</f>
        <v>0</v>
      </c>
    </row>
    <row r="14" spans="1:7" x14ac:dyDescent="0.25">
      <c r="A14" s="490" t="s">
        <v>102</v>
      </c>
      <c r="C14" s="13"/>
      <c r="D14" s="23" t="s">
        <v>71</v>
      </c>
      <c r="E14" s="492"/>
    </row>
    <row r="15" spans="1:7" x14ac:dyDescent="0.25">
      <c r="A15" s="490" t="s">
        <v>103</v>
      </c>
      <c r="C15" s="13" t="s">
        <v>104</v>
      </c>
      <c r="D15" s="23" t="s">
        <v>71</v>
      </c>
      <c r="E15" s="492"/>
      <c r="G15" s="494">
        <f>SUM(G13:G14)</f>
        <v>0</v>
      </c>
    </row>
    <row r="16" spans="1:7" x14ac:dyDescent="0.25">
      <c r="A16" s="490" t="s">
        <v>105</v>
      </c>
      <c r="C16" s="13" t="s">
        <v>2542</v>
      </c>
      <c r="D16" s="28" t="s">
        <v>71</v>
      </c>
      <c r="E16" s="32">
        <v>0.03</v>
      </c>
      <c r="F16" s="97"/>
      <c r="G16" s="466">
        <f>G15*E16</f>
        <v>0</v>
      </c>
    </row>
    <row r="17" spans="1:8" x14ac:dyDescent="0.25">
      <c r="A17" s="490" t="s">
        <v>107</v>
      </c>
      <c r="C17" s="13" t="s">
        <v>2437</v>
      </c>
      <c r="D17" s="23" t="s">
        <v>71</v>
      </c>
      <c r="E17" s="492"/>
      <c r="G17" s="494">
        <f>SUM(G15:G16)</f>
        <v>0</v>
      </c>
    </row>
    <row r="18" spans="1:8" x14ac:dyDescent="0.25">
      <c r="A18" s="490" t="s">
        <v>109</v>
      </c>
      <c r="C18" s="13" t="s">
        <v>110</v>
      </c>
      <c r="D18" s="23" t="s">
        <v>71</v>
      </c>
      <c r="E18" s="492">
        <v>0.21</v>
      </c>
      <c r="G18" s="461">
        <f>G17*E18</f>
        <v>0</v>
      </c>
    </row>
    <row r="19" spans="1:8" x14ac:dyDescent="0.25">
      <c r="A19" s="490" t="s">
        <v>111</v>
      </c>
      <c r="C19" s="13"/>
      <c r="D19" s="23"/>
      <c r="E19" s="492"/>
    </row>
    <row r="20" spans="1:8" x14ac:dyDescent="0.25">
      <c r="A20" s="490" t="s">
        <v>112</v>
      </c>
      <c r="C20" s="13" t="s">
        <v>113</v>
      </c>
      <c r="D20" s="23" t="s">
        <v>71</v>
      </c>
      <c r="E20" s="492"/>
      <c r="G20" s="494">
        <f>SUM(G17:G18)</f>
        <v>0</v>
      </c>
    </row>
    <row r="21" spans="1:8" x14ac:dyDescent="0.25">
      <c r="A21" s="490" t="s">
        <v>928</v>
      </c>
      <c r="D21" s="23"/>
      <c r="E21" s="492"/>
    </row>
    <row r="22" spans="1:8" x14ac:dyDescent="0.25">
      <c r="A22" s="490" t="s">
        <v>934</v>
      </c>
      <c r="D22" s="23"/>
      <c r="E22" s="492"/>
    </row>
    <row r="23" spans="1:8" s="623" customFormat="1" ht="22.8" x14ac:dyDescent="0.25">
      <c r="A23" s="1011" t="s">
        <v>114</v>
      </c>
      <c r="B23" s="624" t="s">
        <v>432</v>
      </c>
      <c r="C23" s="622" t="s">
        <v>115</v>
      </c>
      <c r="D23" s="622" t="s">
        <v>116</v>
      </c>
      <c r="E23" s="625" t="s">
        <v>117</v>
      </c>
      <c r="F23" s="621" t="s">
        <v>118</v>
      </c>
      <c r="G23" s="626" t="s">
        <v>119</v>
      </c>
      <c r="H23" s="620" t="s">
        <v>607</v>
      </c>
    </row>
    <row r="24" spans="1:8" x14ac:dyDescent="0.25">
      <c r="A24" s="423" t="s">
        <v>123</v>
      </c>
      <c r="C24" s="27" t="s">
        <v>142</v>
      </c>
    </row>
    <row r="25" spans="1:8" x14ac:dyDescent="0.25">
      <c r="A25" s="423" t="s">
        <v>948</v>
      </c>
      <c r="C25" s="27" t="s">
        <v>143</v>
      </c>
    </row>
    <row r="26" spans="1:8" ht="94.95" customHeight="1" x14ac:dyDescent="0.25">
      <c r="A26" s="423" t="s">
        <v>967</v>
      </c>
      <c r="C26" s="27" t="s">
        <v>2445</v>
      </c>
    </row>
    <row r="27" spans="1:8" ht="26.4" x14ac:dyDescent="0.25">
      <c r="A27" s="423" t="s">
        <v>974</v>
      </c>
      <c r="C27" s="27" t="s">
        <v>2360</v>
      </c>
    </row>
    <row r="28" spans="1:8" x14ac:dyDescent="0.25">
      <c r="A28" s="423" t="s">
        <v>980</v>
      </c>
      <c r="C28" s="27" t="s">
        <v>145</v>
      </c>
    </row>
    <row r="29" spans="1:8" ht="57" x14ac:dyDescent="0.25">
      <c r="A29" s="423" t="s">
        <v>990</v>
      </c>
      <c r="C29" s="1" t="s">
        <v>2183</v>
      </c>
    </row>
    <row r="30" spans="1:8" x14ac:dyDescent="0.25">
      <c r="A30" s="423" t="s">
        <v>996</v>
      </c>
      <c r="C30" s="27" t="s">
        <v>147</v>
      </c>
    </row>
    <row r="31" spans="1:8" ht="26.4" x14ac:dyDescent="0.25">
      <c r="A31" s="423" t="s">
        <v>1002</v>
      </c>
      <c r="C31" s="27" t="s">
        <v>148</v>
      </c>
    </row>
    <row r="32" spans="1:8" ht="39.6" x14ac:dyDescent="0.25">
      <c r="A32" s="423" t="s">
        <v>1008</v>
      </c>
      <c r="C32" s="27" t="s">
        <v>431</v>
      </c>
    </row>
    <row r="33" spans="1:8" x14ac:dyDescent="0.25">
      <c r="A33" s="423" t="s">
        <v>1012</v>
      </c>
      <c r="C33" s="27" t="s">
        <v>150</v>
      </c>
    </row>
    <row r="34" spans="1:8" x14ac:dyDescent="0.25">
      <c r="A34" s="423" t="s">
        <v>1018</v>
      </c>
      <c r="C34" s="27" t="s">
        <v>151</v>
      </c>
    </row>
    <row r="35" spans="1:8" x14ac:dyDescent="0.25">
      <c r="A35" s="423" t="s">
        <v>1022</v>
      </c>
      <c r="C35" s="21" t="s">
        <v>2358</v>
      </c>
    </row>
    <row r="36" spans="1:8" ht="26.4" x14ac:dyDescent="0.25">
      <c r="A36" s="423" t="s">
        <v>1026</v>
      </c>
      <c r="C36" s="27" t="s">
        <v>152</v>
      </c>
    </row>
    <row r="37" spans="1:8" ht="26.4" x14ac:dyDescent="0.25">
      <c r="A37" s="423" t="s">
        <v>1030</v>
      </c>
      <c r="C37" s="27" t="s">
        <v>153</v>
      </c>
    </row>
    <row r="38" spans="1:8" x14ac:dyDescent="0.25">
      <c r="A38" s="423" t="s">
        <v>1034</v>
      </c>
      <c r="C38" s="27" t="s">
        <v>154</v>
      </c>
    </row>
    <row r="39" spans="1:8" x14ac:dyDescent="0.25">
      <c r="A39" s="423" t="s">
        <v>1038</v>
      </c>
      <c r="C39" s="21" t="s">
        <v>2359</v>
      </c>
    </row>
    <row r="40" spans="1:8" ht="26.4" x14ac:dyDescent="0.25">
      <c r="A40" s="423" t="s">
        <v>1042</v>
      </c>
      <c r="C40" s="21" t="s">
        <v>2361</v>
      </c>
    </row>
    <row r="41" spans="1:8" ht="39.6" x14ac:dyDescent="0.25">
      <c r="A41" s="423" t="s">
        <v>1046</v>
      </c>
      <c r="C41" s="27" t="s">
        <v>2180</v>
      </c>
    </row>
    <row r="42" spans="1:8" x14ac:dyDescent="0.25">
      <c r="A42" s="423" t="s">
        <v>1050</v>
      </c>
      <c r="C42" s="27" t="s">
        <v>2179</v>
      </c>
    </row>
    <row r="43" spans="1:8" x14ac:dyDescent="0.25">
      <c r="A43" s="423" t="s">
        <v>1054</v>
      </c>
      <c r="C43" s="27" t="s">
        <v>2355</v>
      </c>
    </row>
    <row r="44" spans="1:8" x14ac:dyDescent="0.25">
      <c r="A44" s="423" t="s">
        <v>1058</v>
      </c>
      <c r="B44" s="897"/>
      <c r="C44" s="898" t="s">
        <v>2440</v>
      </c>
      <c r="D44" s="899"/>
      <c r="E44" s="900"/>
      <c r="F44" s="901"/>
      <c r="G44" s="902"/>
      <c r="H44" s="903"/>
    </row>
    <row r="45" spans="1:8" ht="39.6" x14ac:dyDescent="0.25">
      <c r="A45" s="423" t="s">
        <v>1062</v>
      </c>
      <c r="B45" s="109" t="s">
        <v>388</v>
      </c>
      <c r="C45" s="27" t="s">
        <v>2422</v>
      </c>
      <c r="D45" s="27" t="s">
        <v>28</v>
      </c>
      <c r="E45" s="486">
        <f>38.11+1.6</f>
        <v>39.71</v>
      </c>
      <c r="G45" s="461">
        <f>E45*F45</f>
        <v>0</v>
      </c>
      <c r="H45" s="501">
        <f>0.00248*E45</f>
        <v>9.8480800000000007E-2</v>
      </c>
    </row>
    <row r="46" spans="1:8" ht="138.6" customHeight="1" x14ac:dyDescent="0.25">
      <c r="A46" s="423" t="s">
        <v>1066</v>
      </c>
      <c r="B46" s="109" t="s">
        <v>186</v>
      </c>
      <c r="C46" s="27" t="s">
        <v>2549</v>
      </c>
      <c r="D46" s="27" t="s">
        <v>15</v>
      </c>
      <c r="E46" s="486">
        <v>1.5</v>
      </c>
      <c r="G46" s="461">
        <f>E46*F46</f>
        <v>0</v>
      </c>
    </row>
    <row r="47" spans="1:8" ht="39.6" x14ac:dyDescent="0.25">
      <c r="A47" s="423" t="s">
        <v>1070</v>
      </c>
      <c r="B47" s="109">
        <v>141721215</v>
      </c>
      <c r="C47" s="27" t="s">
        <v>2423</v>
      </c>
      <c r="D47" s="27" t="s">
        <v>28</v>
      </c>
      <c r="E47" s="486">
        <v>4.3</v>
      </c>
      <c r="G47" s="461">
        <f>E47*F47</f>
        <v>0</v>
      </c>
    </row>
    <row r="48" spans="1:8" ht="26.4" x14ac:dyDescent="0.25">
      <c r="A48" s="423" t="s">
        <v>1075</v>
      </c>
      <c r="B48" s="109" t="s">
        <v>186</v>
      </c>
      <c r="C48" s="27" t="s">
        <v>2424</v>
      </c>
      <c r="D48" s="27" t="s">
        <v>28</v>
      </c>
      <c r="E48" s="486">
        <v>4.3</v>
      </c>
      <c r="G48" s="461">
        <f>E48*F48</f>
        <v>0</v>
      </c>
    </row>
    <row r="49" spans="1:8" ht="26.4" x14ac:dyDescent="0.25">
      <c r="A49" s="423" t="s">
        <v>1079</v>
      </c>
      <c r="B49" s="109" t="s">
        <v>193</v>
      </c>
      <c r="C49" s="27" t="s">
        <v>386</v>
      </c>
      <c r="D49" s="27" t="s">
        <v>26</v>
      </c>
      <c r="E49" s="486">
        <v>1</v>
      </c>
      <c r="G49" s="461">
        <f>E49*F49</f>
        <v>0</v>
      </c>
      <c r="H49" s="501">
        <f>0.055*E49</f>
        <v>5.5E-2</v>
      </c>
    </row>
    <row r="50" spans="1:8" x14ac:dyDescent="0.25">
      <c r="A50" s="423" t="s">
        <v>1083</v>
      </c>
      <c r="B50" s="109" t="s">
        <v>188</v>
      </c>
      <c r="C50" s="27" t="s">
        <v>189</v>
      </c>
      <c r="D50" s="27" t="s">
        <v>26</v>
      </c>
      <c r="E50" s="486">
        <v>1</v>
      </c>
      <c r="G50" s="461">
        <f t="shared" ref="G50:G55" si="0">E50*F50</f>
        <v>0</v>
      </c>
      <c r="H50" s="501">
        <f>0.005</f>
        <v>5.0000000000000001E-3</v>
      </c>
    </row>
    <row r="51" spans="1:8" ht="26.4" x14ac:dyDescent="0.25">
      <c r="A51" s="423" t="s">
        <v>1087</v>
      </c>
      <c r="B51" s="109" t="s">
        <v>630</v>
      </c>
      <c r="C51" s="27" t="s">
        <v>190</v>
      </c>
      <c r="D51" s="27" t="s">
        <v>26</v>
      </c>
      <c r="E51" s="486">
        <v>1</v>
      </c>
      <c r="G51" s="461">
        <f t="shared" si="0"/>
        <v>0</v>
      </c>
      <c r="H51" s="501">
        <f>0.03574*E51</f>
        <v>3.5740000000000001E-2</v>
      </c>
    </row>
    <row r="52" spans="1:8" x14ac:dyDescent="0.25">
      <c r="A52" s="423" t="s">
        <v>1092</v>
      </c>
      <c r="C52" s="27" t="s">
        <v>156</v>
      </c>
      <c r="D52" s="27" t="s">
        <v>26</v>
      </c>
      <c r="E52" s="486">
        <v>2</v>
      </c>
      <c r="G52" s="461">
        <f t="shared" si="0"/>
        <v>0</v>
      </c>
      <c r="H52" s="501">
        <v>1E-3</v>
      </c>
    </row>
    <row r="53" spans="1:8" x14ac:dyDescent="0.25">
      <c r="A53" s="423" t="s">
        <v>1097</v>
      </c>
      <c r="B53" s="109">
        <v>871315231</v>
      </c>
      <c r="C53" s="27" t="s">
        <v>387</v>
      </c>
      <c r="D53" s="27" t="s">
        <v>28</v>
      </c>
      <c r="E53" s="486">
        <f>4.31+1.6</f>
        <v>5.91</v>
      </c>
      <c r="G53" s="461">
        <f t="shared" si="0"/>
        <v>0</v>
      </c>
      <c r="H53" s="501">
        <f>0.00308*E53</f>
        <v>1.8202799999999998E-2</v>
      </c>
    </row>
    <row r="54" spans="1:8" x14ac:dyDescent="0.25">
      <c r="A54" s="423" t="s">
        <v>1102</v>
      </c>
      <c r="B54" s="109">
        <v>871315231</v>
      </c>
      <c r="C54" s="27" t="s">
        <v>2425</v>
      </c>
      <c r="D54" s="27" t="s">
        <v>28</v>
      </c>
      <c r="E54" s="486">
        <f>14.45+1.6</f>
        <v>16.05</v>
      </c>
      <c r="G54" s="461">
        <f t="shared" si="0"/>
        <v>0</v>
      </c>
      <c r="H54" s="501">
        <f>0.00308*E54</f>
        <v>4.9433999999999999E-2</v>
      </c>
    </row>
    <row r="55" spans="1:8" x14ac:dyDescent="0.25">
      <c r="A55" s="423" t="s">
        <v>1106</v>
      </c>
      <c r="B55" s="156" t="s">
        <v>631</v>
      </c>
      <c r="C55" s="27" t="s">
        <v>632</v>
      </c>
      <c r="D55" s="27" t="s">
        <v>26</v>
      </c>
      <c r="E55" s="486">
        <v>1</v>
      </c>
      <c r="G55" s="461">
        <f t="shared" si="0"/>
        <v>0</v>
      </c>
      <c r="H55" s="501">
        <f>0.04712*E55</f>
        <v>4.7120000000000002E-2</v>
      </c>
    </row>
    <row r="56" spans="1:8" ht="13.8" x14ac:dyDescent="0.25">
      <c r="A56" s="423" t="s">
        <v>1111</v>
      </c>
      <c r="B56" s="897"/>
      <c r="C56" s="904" t="s">
        <v>157</v>
      </c>
      <c r="D56" s="899"/>
      <c r="E56" s="900"/>
      <c r="F56" s="901"/>
      <c r="G56" s="902"/>
      <c r="H56" s="903"/>
    </row>
    <row r="57" spans="1:8" x14ac:dyDescent="0.25">
      <c r="A57" s="423" t="s">
        <v>1116</v>
      </c>
      <c r="B57" s="109">
        <v>721173316</v>
      </c>
      <c r="C57" s="27" t="s">
        <v>2426</v>
      </c>
      <c r="D57" s="27" t="s">
        <v>28</v>
      </c>
      <c r="E57" s="486">
        <f>1.9+1.6</f>
        <v>3.5</v>
      </c>
      <c r="G57" s="461">
        <f t="shared" ref="G57:G62" si="1">E57*F57</f>
        <v>0</v>
      </c>
      <c r="H57" s="501">
        <f>0.00191*E57</f>
        <v>6.685E-3</v>
      </c>
    </row>
    <row r="58" spans="1:8" x14ac:dyDescent="0.25">
      <c r="A58" s="423" t="s">
        <v>1121</v>
      </c>
      <c r="B58" s="109" t="s">
        <v>191</v>
      </c>
      <c r="C58" s="27" t="s">
        <v>568</v>
      </c>
      <c r="D58" s="27" t="s">
        <v>26</v>
      </c>
      <c r="E58" s="486">
        <v>1</v>
      </c>
      <c r="G58" s="461">
        <f t="shared" si="1"/>
        <v>0</v>
      </c>
      <c r="H58" s="501">
        <f>0.01024*E58</f>
        <v>1.0240000000000001E-2</v>
      </c>
    </row>
    <row r="59" spans="1:8" ht="26.4" x14ac:dyDescent="0.25">
      <c r="A59" s="423" t="s">
        <v>1125</v>
      </c>
      <c r="B59" s="109" t="s">
        <v>633</v>
      </c>
      <c r="C59" s="27" t="s">
        <v>569</v>
      </c>
      <c r="D59" s="27" t="s">
        <v>2</v>
      </c>
      <c r="E59" s="486">
        <f>2*5*0.75</f>
        <v>7.5</v>
      </c>
      <c r="G59" s="461">
        <f t="shared" si="1"/>
        <v>0</v>
      </c>
      <c r="H59" s="501">
        <f>1.7875*E59</f>
        <v>13.40625</v>
      </c>
    </row>
    <row r="60" spans="1:8" ht="39.6" x14ac:dyDescent="0.25">
      <c r="A60" s="423" t="s">
        <v>1130</v>
      </c>
      <c r="B60" s="109">
        <v>919726220</v>
      </c>
      <c r="C60" s="27" t="s">
        <v>570</v>
      </c>
      <c r="D60" s="27" t="s">
        <v>15</v>
      </c>
      <c r="E60" s="486">
        <f>(2+5)*2*0.75+2*5*2</f>
        <v>30.5</v>
      </c>
      <c r="G60" s="461">
        <f t="shared" si="1"/>
        <v>0</v>
      </c>
      <c r="H60" s="501">
        <f>0.00057*E60</f>
        <v>1.7384999999999998E-2</v>
      </c>
    </row>
    <row r="61" spans="1:8" ht="26.4" x14ac:dyDescent="0.25">
      <c r="A61" s="423" t="s">
        <v>1134</v>
      </c>
      <c r="B61" s="109" t="s">
        <v>192</v>
      </c>
      <c r="C61" s="27" t="s">
        <v>571</v>
      </c>
      <c r="D61" s="27" t="s">
        <v>28</v>
      </c>
      <c r="E61" s="486">
        <v>10</v>
      </c>
      <c r="G61" s="461">
        <f t="shared" si="1"/>
        <v>0</v>
      </c>
      <c r="H61" s="501">
        <f>0.00405*E61</f>
        <v>4.0499999999999994E-2</v>
      </c>
    </row>
    <row r="62" spans="1:8" ht="26.4" x14ac:dyDescent="0.25">
      <c r="A62" s="423" t="s">
        <v>1139</v>
      </c>
      <c r="B62" s="109" t="s">
        <v>193</v>
      </c>
      <c r="C62" s="27" t="s">
        <v>629</v>
      </c>
      <c r="D62" s="27" t="s">
        <v>26</v>
      </c>
      <c r="E62" s="486">
        <v>1</v>
      </c>
      <c r="G62" s="461">
        <f t="shared" si="1"/>
        <v>0</v>
      </c>
    </row>
    <row r="63" spans="1:8" s="23" customFormat="1" ht="26.4" x14ac:dyDescent="0.25">
      <c r="A63" s="423" t="s">
        <v>1143</v>
      </c>
      <c r="B63" s="477" t="s">
        <v>186</v>
      </c>
      <c r="C63" s="27" t="s">
        <v>645</v>
      </c>
      <c r="D63" s="478" t="s">
        <v>26</v>
      </c>
      <c r="E63" s="496">
        <v>1</v>
      </c>
      <c r="F63" s="497"/>
      <c r="G63" s="498">
        <f>E63*F63</f>
        <v>0</v>
      </c>
      <c r="H63" s="499"/>
    </row>
    <row r="64" spans="1:8" ht="13.8" x14ac:dyDescent="0.25">
      <c r="A64" s="423" t="s">
        <v>1148</v>
      </c>
      <c r="B64" s="897"/>
      <c r="C64" s="904" t="s">
        <v>158</v>
      </c>
      <c r="D64" s="899"/>
      <c r="E64" s="900"/>
      <c r="F64" s="901"/>
      <c r="G64" s="902"/>
      <c r="H64" s="903"/>
    </row>
    <row r="65" spans="1:8" x14ac:dyDescent="0.25">
      <c r="A65" s="423" t="s">
        <v>1152</v>
      </c>
      <c r="B65" s="109" t="s">
        <v>194</v>
      </c>
      <c r="C65" s="27" t="s">
        <v>159</v>
      </c>
      <c r="D65" s="27" t="s">
        <v>26</v>
      </c>
      <c r="E65" s="486">
        <v>1</v>
      </c>
      <c r="G65" s="461">
        <f>E65*F65</f>
        <v>0</v>
      </c>
    </row>
    <row r="66" spans="1:8" x14ac:dyDescent="0.25">
      <c r="A66" s="423" t="s">
        <v>1157</v>
      </c>
      <c r="B66" s="109">
        <v>871315231</v>
      </c>
      <c r="C66" s="27" t="s">
        <v>2427</v>
      </c>
      <c r="D66" s="27" t="s">
        <v>28</v>
      </c>
      <c r="E66" s="486">
        <f>5.8+1</f>
        <v>6.8</v>
      </c>
      <c r="G66" s="461">
        <f>E66*F66</f>
        <v>0</v>
      </c>
    </row>
    <row r="67" spans="1:8" ht="13.8" x14ac:dyDescent="0.25">
      <c r="A67" s="423" t="s">
        <v>1162</v>
      </c>
      <c r="B67" s="897"/>
      <c r="C67" s="904" t="s">
        <v>160</v>
      </c>
      <c r="D67" s="899"/>
      <c r="E67" s="900"/>
      <c r="F67" s="901"/>
      <c r="G67" s="902"/>
      <c r="H67" s="903"/>
    </row>
    <row r="68" spans="1:8" x14ac:dyDescent="0.25">
      <c r="A68" s="423" t="s">
        <v>1167</v>
      </c>
      <c r="B68" s="109">
        <v>871355231</v>
      </c>
      <c r="C68" s="27" t="s">
        <v>161</v>
      </c>
      <c r="D68" s="27" t="s">
        <v>28</v>
      </c>
      <c r="E68" s="486">
        <v>1.28</v>
      </c>
      <c r="G68" s="461">
        <f t="shared" ref="G68:G73" si="2">E68*F68</f>
        <v>0</v>
      </c>
    </row>
    <row r="69" spans="1:8" ht="39.6" x14ac:dyDescent="0.25">
      <c r="A69" s="423" t="s">
        <v>1172</v>
      </c>
      <c r="C69" s="27" t="s">
        <v>162</v>
      </c>
      <c r="D69" s="27" t="s">
        <v>26</v>
      </c>
      <c r="E69" s="486">
        <v>1</v>
      </c>
      <c r="G69" s="461">
        <f t="shared" si="2"/>
        <v>0</v>
      </c>
    </row>
    <row r="70" spans="1:8" ht="26.4" x14ac:dyDescent="0.25">
      <c r="A70" s="423" t="s">
        <v>1177</v>
      </c>
      <c r="C70" s="27" t="s">
        <v>177</v>
      </c>
      <c r="D70" s="27" t="s">
        <v>26</v>
      </c>
      <c r="E70" s="486">
        <v>1</v>
      </c>
      <c r="G70" s="461">
        <f t="shared" si="2"/>
        <v>0</v>
      </c>
      <c r="H70" s="501">
        <v>0.15</v>
      </c>
    </row>
    <row r="71" spans="1:8" x14ac:dyDescent="0.25">
      <c r="A71" s="423" t="s">
        <v>1183</v>
      </c>
      <c r="B71" s="109">
        <v>871315231</v>
      </c>
      <c r="C71" s="27" t="s">
        <v>163</v>
      </c>
      <c r="D71" s="27" t="s">
        <v>28</v>
      </c>
      <c r="E71" s="486">
        <v>1.1000000000000001</v>
      </c>
      <c r="G71" s="461">
        <f t="shared" si="2"/>
        <v>0</v>
      </c>
      <c r="H71" s="501">
        <f>0.00248*E71</f>
        <v>2.7280000000000004E-3</v>
      </c>
    </row>
    <row r="72" spans="1:8" x14ac:dyDescent="0.25">
      <c r="A72" s="423" t="s">
        <v>1188</v>
      </c>
      <c r="C72" s="27" t="s">
        <v>572</v>
      </c>
      <c r="D72" s="27" t="s">
        <v>26</v>
      </c>
      <c r="E72" s="486">
        <v>1</v>
      </c>
      <c r="G72" s="461">
        <f t="shared" si="2"/>
        <v>0</v>
      </c>
      <c r="H72" s="501">
        <f>0.008</f>
        <v>8.0000000000000002E-3</v>
      </c>
    </row>
    <row r="73" spans="1:8" x14ac:dyDescent="0.25">
      <c r="A73" s="423" t="s">
        <v>1193</v>
      </c>
      <c r="C73" s="27" t="s">
        <v>634</v>
      </c>
      <c r="D73" s="27" t="s">
        <v>26</v>
      </c>
      <c r="E73" s="486">
        <v>1</v>
      </c>
      <c r="G73" s="461">
        <f t="shared" si="2"/>
        <v>0</v>
      </c>
    </row>
    <row r="74" spans="1:8" ht="13.8" x14ac:dyDescent="0.25">
      <c r="A74" s="423" t="s">
        <v>1198</v>
      </c>
      <c r="B74" s="897"/>
      <c r="C74" s="904" t="s">
        <v>635</v>
      </c>
      <c r="D74" s="899"/>
      <c r="E74" s="900"/>
      <c r="F74" s="901"/>
      <c r="G74" s="902"/>
      <c r="H74" s="903"/>
    </row>
    <row r="75" spans="1:8" ht="39.6" x14ac:dyDescent="0.25">
      <c r="A75" s="423" t="s">
        <v>1204</v>
      </c>
      <c r="B75" s="109">
        <v>131351102</v>
      </c>
      <c r="C75" s="27" t="s">
        <v>573</v>
      </c>
      <c r="D75" s="27" t="s">
        <v>2</v>
      </c>
      <c r="E75" s="486">
        <f>0.75*(3.56+0.6*2)*(7.22+0.6*2)</f>
        <v>30.0594</v>
      </c>
      <c r="G75" s="461">
        <f>E75*F75</f>
        <v>0</v>
      </c>
      <c r="H75" s="501">
        <v>0</v>
      </c>
    </row>
    <row r="76" spans="1:8" ht="26.4" x14ac:dyDescent="0.25">
      <c r="A76" s="423" t="s">
        <v>1208</v>
      </c>
      <c r="B76" s="109">
        <v>162751137</v>
      </c>
      <c r="C76" s="27" t="s">
        <v>574</v>
      </c>
      <c r="D76" s="27" t="s">
        <v>2</v>
      </c>
      <c r="E76" s="486">
        <f>0.75*(3.56+0.6*2)*(7.22+0.6*2)*1.7</f>
        <v>51.10098</v>
      </c>
      <c r="G76" s="461">
        <f>E76*F76</f>
        <v>0</v>
      </c>
      <c r="H76" s="501">
        <v>0</v>
      </c>
    </row>
    <row r="77" spans="1:8" ht="39.6" x14ac:dyDescent="0.25">
      <c r="A77" s="423" t="s">
        <v>1212</v>
      </c>
      <c r="B77" s="109">
        <v>162751139</v>
      </c>
      <c r="C77" s="27" t="s">
        <v>2623</v>
      </c>
      <c r="D77" s="27" t="s">
        <v>2</v>
      </c>
      <c r="E77" s="486">
        <f>E76</f>
        <v>51.10098</v>
      </c>
      <c r="G77" s="461">
        <f>E77*F77</f>
        <v>0</v>
      </c>
      <c r="H77" s="501">
        <v>0</v>
      </c>
    </row>
    <row r="78" spans="1:8" x14ac:dyDescent="0.25">
      <c r="A78" s="423" t="s">
        <v>1216</v>
      </c>
      <c r="B78" s="109" t="s">
        <v>195</v>
      </c>
      <c r="C78" s="27" t="s">
        <v>575</v>
      </c>
      <c r="E78" s="486">
        <f>0.75*(3.56+0.6*2)*(7.22+0.6*2)*1.7</f>
        <v>51.10098</v>
      </c>
      <c r="G78" s="461">
        <f>E78*F78</f>
        <v>0</v>
      </c>
      <c r="H78" s="501">
        <v>0</v>
      </c>
    </row>
    <row r="79" spans="1:8" ht="66" x14ac:dyDescent="0.25">
      <c r="A79" s="423" t="s">
        <v>1221</v>
      </c>
      <c r="B79" s="109">
        <v>564932111</v>
      </c>
      <c r="C79" s="27" t="s">
        <v>576</v>
      </c>
      <c r="D79" s="27" t="s">
        <v>15</v>
      </c>
      <c r="E79" s="486">
        <f>(3.56+0.6*2)*(7.22+0.6*2)</f>
        <v>40.0792</v>
      </c>
      <c r="G79" s="461">
        <f>E79*F79</f>
        <v>0</v>
      </c>
      <c r="H79" s="501">
        <f>0.24794*E79</f>
        <v>9.9372368479999995</v>
      </c>
    </row>
    <row r="80" spans="1:8" x14ac:dyDescent="0.25">
      <c r="A80" s="423" t="s">
        <v>1225</v>
      </c>
      <c r="B80" s="910"/>
      <c r="C80" s="911" t="s">
        <v>164</v>
      </c>
      <c r="D80" s="912"/>
      <c r="E80" s="913"/>
      <c r="F80" s="914"/>
      <c r="G80" s="915"/>
      <c r="H80" s="916"/>
    </row>
    <row r="81" spans="1:17" x14ac:dyDescent="0.25">
      <c r="A81" s="423" t="s">
        <v>1230</v>
      </c>
      <c r="B81" s="897"/>
      <c r="C81" s="898" t="s">
        <v>187</v>
      </c>
      <c r="D81" s="899"/>
      <c r="E81" s="900"/>
      <c r="F81" s="901"/>
      <c r="G81" s="902"/>
      <c r="H81" s="903"/>
    </row>
    <row r="82" spans="1:17" ht="39.6" x14ac:dyDescent="0.25">
      <c r="A82" s="423" t="s">
        <v>1236</v>
      </c>
      <c r="B82" s="479"/>
      <c r="C82" s="27" t="s">
        <v>577</v>
      </c>
    </row>
    <row r="83" spans="1:17" ht="26.4" x14ac:dyDescent="0.25">
      <c r="A83" s="423" t="s">
        <v>1258</v>
      </c>
      <c r="B83" s="479">
        <v>113106071</v>
      </c>
      <c r="C83" s="480" t="s">
        <v>2428</v>
      </c>
      <c r="D83" s="27" t="s">
        <v>15</v>
      </c>
      <c r="E83" s="486">
        <f>12.25*1.5</f>
        <v>18.375</v>
      </c>
      <c r="G83" s="99">
        <f>E83*F83</f>
        <v>0</v>
      </c>
      <c r="H83" s="16">
        <f>0.26*E83</f>
        <v>4.7774999999999999</v>
      </c>
    </row>
    <row r="84" spans="1:17" ht="13.8" x14ac:dyDescent="0.25">
      <c r="A84" s="423" t="s">
        <v>1262</v>
      </c>
      <c r="B84" s="109" t="s">
        <v>139</v>
      </c>
      <c r="C84" s="27" t="s">
        <v>602</v>
      </c>
      <c r="D84" s="23" t="s">
        <v>15</v>
      </c>
      <c r="E84" s="493">
        <v>18.38</v>
      </c>
      <c r="F84" s="499"/>
      <c r="G84" s="99">
        <f>E84*F84</f>
        <v>0</v>
      </c>
      <c r="H84" s="16">
        <v>0</v>
      </c>
    </row>
    <row r="85" spans="1:17" ht="39.6" x14ac:dyDescent="0.25">
      <c r="A85" s="423" t="s">
        <v>1266</v>
      </c>
      <c r="B85" s="109">
        <v>997221571</v>
      </c>
      <c r="C85" s="480" t="s">
        <v>2429</v>
      </c>
      <c r="D85" s="23" t="s">
        <v>45</v>
      </c>
      <c r="E85" s="492">
        <v>4.8</v>
      </c>
      <c r="F85" s="499"/>
      <c r="G85" s="99">
        <f>E85*F85</f>
        <v>0</v>
      </c>
      <c r="H85" s="16">
        <f>0*E85</f>
        <v>0</v>
      </c>
    </row>
    <row r="86" spans="1:17" s="23" customFormat="1" ht="39.6" x14ac:dyDescent="0.25">
      <c r="A86" s="423" t="s">
        <v>1270</v>
      </c>
      <c r="B86" s="109">
        <v>113107125</v>
      </c>
      <c r="C86" s="480" t="s">
        <v>636</v>
      </c>
      <c r="D86" s="23" t="s">
        <v>15</v>
      </c>
      <c r="E86" s="486">
        <f>12.25*1.5</f>
        <v>18.375</v>
      </c>
      <c r="F86" s="493"/>
      <c r="G86" s="99">
        <f>E86*F86</f>
        <v>0</v>
      </c>
      <c r="H86" s="499">
        <f>0.75*E86</f>
        <v>13.78125</v>
      </c>
      <c r="J86" s="521"/>
      <c r="K86" s="521"/>
      <c r="L86" s="522"/>
      <c r="M86" s="521"/>
      <c r="O86" s="521"/>
      <c r="P86" s="521"/>
      <c r="Q86" s="523"/>
    </row>
    <row r="87" spans="1:17" ht="26.4" x14ac:dyDescent="0.25">
      <c r="A87" s="423" t="s">
        <v>1274</v>
      </c>
      <c r="B87" s="109">
        <v>132251101</v>
      </c>
      <c r="C87" s="27" t="s">
        <v>2415</v>
      </c>
      <c r="D87" s="27" t="s">
        <v>2</v>
      </c>
      <c r="E87" s="486">
        <f>(18.44+5.8+4.31+14.45)*0.8*0.65+(19.67-1.58)*0.8*1.75+1.58*0.8*0.4</f>
        <v>48.191600000000008</v>
      </c>
      <c r="G87" s="461">
        <f>E87*F87</f>
        <v>0</v>
      </c>
      <c r="H87" s="501">
        <v>0</v>
      </c>
    </row>
    <row r="88" spans="1:17" ht="39.6" x14ac:dyDescent="0.25">
      <c r="A88" s="423" t="s">
        <v>1278</v>
      </c>
      <c r="C88" s="27" t="s">
        <v>172</v>
      </c>
    </row>
    <row r="89" spans="1:17" x14ac:dyDescent="0.25">
      <c r="A89" s="423" t="s">
        <v>1288</v>
      </c>
      <c r="B89" s="109">
        <v>151201101</v>
      </c>
      <c r="C89" s="480" t="s">
        <v>170</v>
      </c>
      <c r="D89" s="27" t="s">
        <v>15</v>
      </c>
      <c r="E89" s="486">
        <f>(19.67-1.58+0.8)*1.75*2</f>
        <v>66.115000000000009</v>
      </c>
      <c r="G89" s="461">
        <f>E89*F89</f>
        <v>0</v>
      </c>
      <c r="H89" s="501">
        <f>0.00199*E89</f>
        <v>0.13156885000000001</v>
      </c>
    </row>
    <row r="90" spans="1:17" x14ac:dyDescent="0.25">
      <c r="A90" s="423" t="s">
        <v>1292</v>
      </c>
      <c r="C90" s="27" t="s">
        <v>165</v>
      </c>
    </row>
    <row r="91" spans="1:17" x14ac:dyDescent="0.25">
      <c r="A91" s="423" t="s">
        <v>1298</v>
      </c>
      <c r="B91" s="109">
        <v>151101111</v>
      </c>
      <c r="C91" s="27" t="s">
        <v>48</v>
      </c>
      <c r="D91" s="27" t="s">
        <v>15</v>
      </c>
      <c r="E91" s="486">
        <f>(19.67-1.58+0.8)*1.75*2</f>
        <v>66.115000000000009</v>
      </c>
      <c r="G91" s="461">
        <f t="shared" ref="G91:G96" si="3">E91*F91</f>
        <v>0</v>
      </c>
      <c r="H91" s="501">
        <v>0</v>
      </c>
    </row>
    <row r="92" spans="1:17" ht="26.4" x14ac:dyDescent="0.25">
      <c r="A92" s="423" t="s">
        <v>1302</v>
      </c>
      <c r="B92" s="109">
        <v>271562200</v>
      </c>
      <c r="C92" s="27" t="s">
        <v>2430</v>
      </c>
      <c r="D92" s="27" t="s">
        <v>2</v>
      </c>
      <c r="E92" s="486">
        <f>(38.11+5.8+4.31+14.45)*0.8*0.1</f>
        <v>5.0136000000000003</v>
      </c>
      <c r="G92" s="461">
        <f t="shared" si="3"/>
        <v>0</v>
      </c>
      <c r="H92" s="501">
        <f>1.980009*E92</f>
        <v>9.9269731223999997</v>
      </c>
    </row>
    <row r="93" spans="1:17" ht="39.6" x14ac:dyDescent="0.25">
      <c r="A93" s="423" t="s">
        <v>1307</v>
      </c>
      <c r="B93" s="109">
        <v>271562200</v>
      </c>
      <c r="C93" s="27" t="s">
        <v>2431</v>
      </c>
      <c r="D93" s="27" t="s">
        <v>2</v>
      </c>
      <c r="E93" s="486">
        <f>(38.11+5.8+4.31+14.45)*0.8*0.5</f>
        <v>25.068000000000001</v>
      </c>
      <c r="G93" s="461">
        <f t="shared" si="3"/>
        <v>0</v>
      </c>
      <c r="H93" s="501">
        <f>1.980009*E93</f>
        <v>49.634865611999999</v>
      </c>
    </row>
    <row r="94" spans="1:17" ht="26.4" x14ac:dyDescent="0.25">
      <c r="A94" s="423" t="s">
        <v>1313</v>
      </c>
      <c r="B94" s="109" t="s">
        <v>637</v>
      </c>
      <c r="C94" s="27" t="s">
        <v>2432</v>
      </c>
      <c r="D94" s="27" t="s">
        <v>2</v>
      </c>
      <c r="E94" s="486">
        <f>38.11*0.8*1.15</f>
        <v>35.061199999999999</v>
      </c>
      <c r="G94" s="461">
        <f t="shared" si="3"/>
        <v>0</v>
      </c>
      <c r="H94" s="501">
        <f>1.980009*E94</f>
        <v>69.421491550799999</v>
      </c>
    </row>
    <row r="95" spans="1:17" ht="26.4" x14ac:dyDescent="0.25">
      <c r="A95" s="423" t="s">
        <v>1318</v>
      </c>
      <c r="B95" s="109" t="s">
        <v>171</v>
      </c>
      <c r="C95" s="27" t="s">
        <v>638</v>
      </c>
      <c r="D95" s="27" t="s">
        <v>15</v>
      </c>
      <c r="E95" s="486">
        <f>4*1</f>
        <v>4</v>
      </c>
      <c r="G95" s="461">
        <f t="shared" si="3"/>
        <v>0</v>
      </c>
      <c r="H95" s="501">
        <v>0</v>
      </c>
    </row>
    <row r="96" spans="1:17" ht="26.4" x14ac:dyDescent="0.25">
      <c r="A96" s="423" t="s">
        <v>1323</v>
      </c>
      <c r="B96" s="109">
        <v>132251101</v>
      </c>
      <c r="C96" s="27" t="s">
        <v>2415</v>
      </c>
      <c r="D96" s="27" t="s">
        <v>2</v>
      </c>
      <c r="E96" s="486">
        <f>(1.28+1.1)*0.8*0.65</f>
        <v>1.2376</v>
      </c>
      <c r="G96" s="461">
        <f t="shared" si="3"/>
        <v>0</v>
      </c>
      <c r="H96" s="501">
        <v>0</v>
      </c>
    </row>
    <row r="97" spans="1:8" x14ac:dyDescent="0.25">
      <c r="A97" s="423" t="s">
        <v>1329</v>
      </c>
      <c r="C97" s="27" t="s">
        <v>2545</v>
      </c>
    </row>
    <row r="98" spans="1:8" ht="26.4" x14ac:dyDescent="0.25">
      <c r="A98" s="423" t="s">
        <v>1333</v>
      </c>
      <c r="C98" s="21" t="s">
        <v>666</v>
      </c>
      <c r="D98" s="13"/>
      <c r="E98" s="21"/>
      <c r="F98" s="501"/>
      <c r="H98" s="97"/>
    </row>
    <row r="99" spans="1:8" ht="52.8" x14ac:dyDescent="0.25">
      <c r="A99" s="423" t="s">
        <v>696</v>
      </c>
      <c r="B99" s="109" t="s">
        <v>186</v>
      </c>
      <c r="C99" s="21" t="s">
        <v>2405</v>
      </c>
      <c r="D99" s="13" t="s">
        <v>27</v>
      </c>
      <c r="E99" s="21">
        <v>2</v>
      </c>
      <c r="F99" s="501"/>
      <c r="G99" s="461">
        <f>E99*F99</f>
        <v>0</v>
      </c>
      <c r="H99" s="97"/>
    </row>
    <row r="100" spans="1:8" ht="26.4" x14ac:dyDescent="0.25">
      <c r="A100" s="423" t="s">
        <v>1348</v>
      </c>
      <c r="B100" s="109">
        <v>460631215</v>
      </c>
      <c r="C100" s="21" t="s">
        <v>2548</v>
      </c>
      <c r="D100" s="13" t="s">
        <v>28</v>
      </c>
      <c r="E100" s="21">
        <v>10</v>
      </c>
      <c r="F100" s="501"/>
      <c r="G100" s="461">
        <f>E100*F100</f>
        <v>0</v>
      </c>
      <c r="H100" s="97">
        <v>4.47E-3</v>
      </c>
    </row>
    <row r="101" spans="1:8" x14ac:dyDescent="0.25">
      <c r="A101" s="423" t="s">
        <v>1353</v>
      </c>
      <c r="B101" s="109" t="s">
        <v>186</v>
      </c>
      <c r="C101" s="21" t="s">
        <v>667</v>
      </c>
      <c r="D101" s="13" t="s">
        <v>27</v>
      </c>
      <c r="E101" s="21">
        <v>1</v>
      </c>
      <c r="F101" s="501"/>
      <c r="G101" s="461">
        <f>E101*F101</f>
        <v>0</v>
      </c>
      <c r="H101" s="97"/>
    </row>
    <row r="102" spans="1:8" ht="39.6" x14ac:dyDescent="0.25">
      <c r="A102" s="423" t="s">
        <v>1358</v>
      </c>
      <c r="B102" s="156">
        <v>460242211</v>
      </c>
      <c r="C102" s="21" t="s">
        <v>2407</v>
      </c>
      <c r="D102" s="14" t="s">
        <v>26</v>
      </c>
      <c r="E102" s="137">
        <v>5</v>
      </c>
      <c r="F102" s="16"/>
      <c r="G102" s="12">
        <f>E102*F102</f>
        <v>0</v>
      </c>
      <c r="H102" s="97"/>
    </row>
    <row r="103" spans="1:8" ht="13.8" x14ac:dyDescent="0.25">
      <c r="A103" s="423" t="s">
        <v>1363</v>
      </c>
      <c r="B103" s="917">
        <v>776992111</v>
      </c>
      <c r="C103" s="918" t="s">
        <v>2408</v>
      </c>
      <c r="D103" s="919" t="s">
        <v>28</v>
      </c>
      <c r="E103" s="920">
        <v>10</v>
      </c>
      <c r="F103" s="921"/>
      <c r="G103" s="922">
        <f>E103*F103</f>
        <v>0</v>
      </c>
      <c r="H103" s="923"/>
    </row>
    <row r="104" spans="1:8" x14ac:dyDescent="0.25">
      <c r="A104" s="423" t="s">
        <v>1367</v>
      </c>
      <c r="C104" s="480" t="s">
        <v>166</v>
      </c>
    </row>
    <row r="105" spans="1:8" ht="26.4" x14ac:dyDescent="0.25">
      <c r="A105" s="423" t="s">
        <v>1375</v>
      </c>
      <c r="C105" s="27" t="s">
        <v>167</v>
      </c>
    </row>
    <row r="106" spans="1:8" ht="26.4" x14ac:dyDescent="0.25">
      <c r="A106" s="423" t="s">
        <v>1381</v>
      </c>
      <c r="B106" s="109">
        <v>271562200</v>
      </c>
      <c r="C106" s="27" t="s">
        <v>2433</v>
      </c>
      <c r="D106" s="27" t="s">
        <v>2</v>
      </c>
      <c r="E106" s="486">
        <f>(1.28+1.1)*0.8*0.1</f>
        <v>0.19040000000000001</v>
      </c>
      <c r="G106" s="461">
        <f>E106*F106</f>
        <v>0</v>
      </c>
      <c r="H106" s="501">
        <f>1.980009*E106</f>
        <v>0.3769937136</v>
      </c>
    </row>
    <row r="107" spans="1:8" ht="39.6" x14ac:dyDescent="0.25">
      <c r="A107" s="423" t="s">
        <v>1386</v>
      </c>
      <c r="B107" s="109">
        <v>271562200</v>
      </c>
      <c r="C107" s="27" t="s">
        <v>2434</v>
      </c>
      <c r="D107" s="27" t="s">
        <v>2</v>
      </c>
      <c r="E107" s="486">
        <f>(1.28+1.1)*0.8*0.5</f>
        <v>0.95199999999999996</v>
      </c>
      <c r="G107" s="461">
        <f>E107*F107</f>
        <v>0</v>
      </c>
      <c r="H107" s="501">
        <f>1.980009*E107</f>
        <v>1.8849685679999999</v>
      </c>
    </row>
    <row r="108" spans="1:8" ht="13.8" x14ac:dyDescent="0.25">
      <c r="A108" s="423" t="s">
        <v>1391</v>
      </c>
      <c r="C108" s="495" t="s">
        <v>155</v>
      </c>
    </row>
    <row r="109" spans="1:8" ht="26.4" x14ac:dyDescent="0.25">
      <c r="A109" s="423" t="s">
        <v>1399</v>
      </c>
      <c r="B109" s="109">
        <v>132251101</v>
      </c>
      <c r="C109" s="27" t="s">
        <v>2415</v>
      </c>
      <c r="D109" s="27" t="s">
        <v>2</v>
      </c>
      <c r="E109" s="486">
        <f>(1.9)*0.8*0.65</f>
        <v>0.9880000000000001</v>
      </c>
      <c r="G109" s="461">
        <f>E109*F109</f>
        <v>0</v>
      </c>
      <c r="H109" s="501">
        <v>0</v>
      </c>
    </row>
    <row r="110" spans="1:8" x14ac:dyDescent="0.25">
      <c r="A110" s="423" t="s">
        <v>1404</v>
      </c>
      <c r="C110" s="27" t="s">
        <v>168</v>
      </c>
    </row>
    <row r="111" spans="1:8" ht="26.4" x14ac:dyDescent="0.25">
      <c r="A111" s="423" t="s">
        <v>1409</v>
      </c>
      <c r="B111" s="109">
        <v>271562200</v>
      </c>
      <c r="C111" s="27" t="s">
        <v>2435</v>
      </c>
      <c r="D111" s="27" t="s">
        <v>2</v>
      </c>
      <c r="E111" s="486">
        <f>(1.9)*0.8*0.1</f>
        <v>0.15200000000000002</v>
      </c>
      <c r="G111" s="461">
        <f>E111*F111</f>
        <v>0</v>
      </c>
      <c r="H111" s="501">
        <f>1.980009*E111</f>
        <v>0.30096136800000001</v>
      </c>
    </row>
    <row r="112" spans="1:8" ht="26.4" x14ac:dyDescent="0.25">
      <c r="A112" s="423" t="s">
        <v>1414</v>
      </c>
      <c r="B112" s="109">
        <v>271562200</v>
      </c>
      <c r="C112" s="27" t="s">
        <v>2436</v>
      </c>
      <c r="D112" s="27" t="s">
        <v>2</v>
      </c>
      <c r="E112" s="486">
        <f>(1.28+1.1)*0.8*0.5</f>
        <v>0.95199999999999996</v>
      </c>
      <c r="G112" s="461">
        <f>E112*F112</f>
        <v>0</v>
      </c>
      <c r="H112" s="501">
        <f>1.980009*E112</f>
        <v>1.8849685679999999</v>
      </c>
    </row>
    <row r="113" spans="1:8" ht="13.8" x14ac:dyDescent="0.25">
      <c r="A113" s="423" t="s">
        <v>1419</v>
      </c>
      <c r="B113" s="897"/>
      <c r="C113" s="904" t="s">
        <v>169</v>
      </c>
      <c r="D113" s="899"/>
      <c r="E113" s="900"/>
      <c r="F113" s="901"/>
      <c r="G113" s="902"/>
      <c r="H113" s="924"/>
    </row>
    <row r="114" spans="1:8" ht="93.6" x14ac:dyDescent="0.25">
      <c r="A114" s="423" t="s">
        <v>1424</v>
      </c>
      <c r="C114" s="27" t="s">
        <v>639</v>
      </c>
    </row>
    <row r="115" spans="1:8" ht="26.4" x14ac:dyDescent="0.25">
      <c r="A115" s="423" t="s">
        <v>1433</v>
      </c>
      <c r="B115" s="109" t="s">
        <v>186</v>
      </c>
      <c r="C115" s="27" t="s">
        <v>578</v>
      </c>
      <c r="D115" s="27" t="s">
        <v>26</v>
      </c>
      <c r="E115" s="486">
        <v>1</v>
      </c>
      <c r="G115" s="461">
        <f>E115*F115</f>
        <v>0</v>
      </c>
      <c r="H115" s="501">
        <v>0.5</v>
      </c>
    </row>
    <row r="116" spans="1:8" ht="39.6" x14ac:dyDescent="0.25">
      <c r="A116" s="423" t="s">
        <v>1438</v>
      </c>
      <c r="B116" s="109">
        <v>279321347</v>
      </c>
      <c r="C116" s="27" t="s">
        <v>642</v>
      </c>
      <c r="D116" s="27" t="s">
        <v>2</v>
      </c>
      <c r="E116" s="486">
        <f>0.2*((2.5+6.16+0.2*2)*2*2.16+ (2.9*6.56)+(0.76+0.76+0.2*2)*2*0.5*2)</f>
        <v>12.400640000000003</v>
      </c>
      <c r="G116" s="461">
        <f>E116*F116</f>
        <v>0</v>
      </c>
      <c r="H116" s="501">
        <f>2.45329*E116</f>
        <v>30.422366105600005</v>
      </c>
    </row>
    <row r="117" spans="1:8" x14ac:dyDescent="0.25">
      <c r="A117" s="423" t="s">
        <v>1443</v>
      </c>
      <c r="B117" s="109" t="s">
        <v>178</v>
      </c>
      <c r="C117" s="27" t="s">
        <v>579</v>
      </c>
      <c r="D117" s="27" t="s">
        <v>45</v>
      </c>
      <c r="E117" s="486">
        <f>50*E116*0.001</f>
        <v>0.62003200000000014</v>
      </c>
      <c r="G117" s="461">
        <f t="shared" ref="G117:G131" si="4">E117*F117</f>
        <v>0</v>
      </c>
      <c r="H117" s="501">
        <f>1.0584*E117</f>
        <v>0.65624186880000013</v>
      </c>
    </row>
    <row r="118" spans="1:8" ht="39.6" x14ac:dyDescent="0.25">
      <c r="A118" s="423" t="s">
        <v>1448</v>
      </c>
      <c r="B118" s="109" t="s">
        <v>179</v>
      </c>
      <c r="C118" s="27" t="s">
        <v>580</v>
      </c>
      <c r="D118" s="27" t="s">
        <v>15</v>
      </c>
      <c r="E118" s="486">
        <f>(2.5+0.2*2+6.16+0.2*2)*(2.16+0.2+0.15)+(0.76+0.2*2)*4*0.35*2</f>
        <v>26.992600000000007</v>
      </c>
      <c r="G118" s="461">
        <f t="shared" si="4"/>
        <v>0</v>
      </c>
      <c r="H118" s="501">
        <f>0.00346*E118</f>
        <v>9.3394396000000018E-2</v>
      </c>
    </row>
    <row r="119" spans="1:8" x14ac:dyDescent="0.25">
      <c r="A119" s="423" t="s">
        <v>1453</v>
      </c>
      <c r="B119" s="109" t="s">
        <v>67</v>
      </c>
      <c r="C119" s="27" t="s">
        <v>581</v>
      </c>
      <c r="D119" s="27" t="s">
        <v>26</v>
      </c>
      <c r="E119" s="486">
        <v>1</v>
      </c>
      <c r="G119" s="461">
        <f t="shared" si="4"/>
        <v>0</v>
      </c>
      <c r="H119" s="501">
        <v>22.32</v>
      </c>
    </row>
    <row r="120" spans="1:8" ht="26.4" x14ac:dyDescent="0.25">
      <c r="A120" s="423" t="s">
        <v>1458</v>
      </c>
      <c r="B120" s="109" t="s">
        <v>180</v>
      </c>
      <c r="C120" s="27" t="s">
        <v>582</v>
      </c>
      <c r="D120" s="27" t="s">
        <v>15</v>
      </c>
      <c r="E120" s="486">
        <f>2.8*6.45</f>
        <v>18.059999999999999</v>
      </c>
      <c r="G120" s="461">
        <f t="shared" si="4"/>
        <v>0</v>
      </c>
      <c r="H120" s="501">
        <f>0.00088*E120</f>
        <v>1.5892799999999999E-2</v>
      </c>
    </row>
    <row r="121" spans="1:8" x14ac:dyDescent="0.25">
      <c r="A121" s="423" t="s">
        <v>1463</v>
      </c>
      <c r="B121" s="109">
        <v>273321511</v>
      </c>
      <c r="C121" s="27" t="s">
        <v>583</v>
      </c>
      <c r="D121" s="27" t="s">
        <v>2</v>
      </c>
      <c r="E121" s="486">
        <f>3.56*7.22*0.2</f>
        <v>5.1406400000000003</v>
      </c>
      <c r="G121" s="461">
        <f t="shared" si="4"/>
        <v>0</v>
      </c>
      <c r="H121" s="501">
        <f>2.45329*E121</f>
        <v>12.6114807056</v>
      </c>
    </row>
    <row r="122" spans="1:8" ht="26.4" x14ac:dyDescent="0.25">
      <c r="A122" s="423" t="s">
        <v>1470</v>
      </c>
      <c r="B122" s="109">
        <v>273362021</v>
      </c>
      <c r="C122" s="27" t="s">
        <v>233</v>
      </c>
      <c r="D122" s="27" t="s">
        <v>45</v>
      </c>
      <c r="E122" s="486">
        <f>25.7*0.0079</f>
        <v>0.20303000000000002</v>
      </c>
      <c r="G122" s="461">
        <f t="shared" si="4"/>
        <v>0</v>
      </c>
      <c r="H122" s="501">
        <v>0.2</v>
      </c>
    </row>
    <row r="123" spans="1:8" ht="26.4" x14ac:dyDescent="0.25">
      <c r="A123" s="423" t="s">
        <v>1476</v>
      </c>
      <c r="B123" s="109">
        <v>564932111</v>
      </c>
      <c r="C123" s="27" t="s">
        <v>584</v>
      </c>
      <c r="D123" s="27" t="s">
        <v>15</v>
      </c>
      <c r="E123" s="486">
        <f>3.56*7.22</f>
        <v>25.703199999999999</v>
      </c>
      <c r="G123" s="461">
        <f t="shared" si="4"/>
        <v>0</v>
      </c>
      <c r="H123" s="501">
        <f>0.24794*E123</f>
        <v>6.3728514079999998</v>
      </c>
    </row>
    <row r="124" spans="1:8" ht="26.4" x14ac:dyDescent="0.25">
      <c r="A124" s="423" t="s">
        <v>1480</v>
      </c>
      <c r="B124" s="109">
        <v>411321414</v>
      </c>
      <c r="C124" s="27" t="s">
        <v>585</v>
      </c>
      <c r="D124" s="27" t="s">
        <v>2</v>
      </c>
      <c r="E124" s="486">
        <f>2.8*6.45*0.15-(0.6*0.6*0.15)*2</f>
        <v>2.6009999999999995</v>
      </c>
      <c r="G124" s="461">
        <f t="shared" si="4"/>
        <v>0</v>
      </c>
      <c r="H124" s="501">
        <f>2.45343*E124</f>
        <v>6.3813714299999988</v>
      </c>
    </row>
    <row r="125" spans="1:8" ht="26.4" x14ac:dyDescent="0.25">
      <c r="A125" s="423" t="s">
        <v>1485</v>
      </c>
      <c r="B125" s="482" t="s">
        <v>181</v>
      </c>
      <c r="C125" s="27" t="s">
        <v>586</v>
      </c>
      <c r="D125" s="27" t="s">
        <v>15</v>
      </c>
      <c r="E125" s="486">
        <f>(2.8*6.45)+0.15*(2.8+6.45)*2</f>
        <v>20.834999999999997</v>
      </c>
      <c r="G125" s="461">
        <f t="shared" si="4"/>
        <v>0</v>
      </c>
      <c r="H125" s="501">
        <f>0.00533*E125</f>
        <v>0.11105054999999998</v>
      </c>
    </row>
    <row r="126" spans="1:8" x14ac:dyDescent="0.25">
      <c r="A126" s="423" t="s">
        <v>1489</v>
      </c>
      <c r="B126" s="109" t="s">
        <v>182</v>
      </c>
      <c r="C126" s="27" t="s">
        <v>587</v>
      </c>
      <c r="D126" s="27" t="s">
        <v>45</v>
      </c>
      <c r="E126" s="486">
        <v>0.82</v>
      </c>
      <c r="G126" s="461">
        <f t="shared" si="4"/>
        <v>0</v>
      </c>
      <c r="H126" s="501">
        <f>1.05005*E126</f>
        <v>0.86104099999999983</v>
      </c>
    </row>
    <row r="127" spans="1:8" ht="22.8" x14ac:dyDescent="0.25">
      <c r="A127" s="423" t="s">
        <v>1494</v>
      </c>
      <c r="B127" s="109" t="s">
        <v>183</v>
      </c>
      <c r="C127" s="27" t="s">
        <v>588</v>
      </c>
      <c r="D127" s="27" t="s">
        <v>15</v>
      </c>
      <c r="E127" s="486">
        <f>(0.2*(3.56+7.22)*2)</f>
        <v>4.3120000000000003</v>
      </c>
      <c r="G127" s="461">
        <f t="shared" si="4"/>
        <v>0</v>
      </c>
      <c r="H127" s="501">
        <f>0.00533*E127</f>
        <v>2.298296E-2</v>
      </c>
    </row>
    <row r="128" spans="1:8" x14ac:dyDescent="0.25">
      <c r="A128" s="423" t="s">
        <v>1498</v>
      </c>
      <c r="B128" s="109">
        <v>271532212</v>
      </c>
      <c r="C128" s="27" t="s">
        <v>589</v>
      </c>
      <c r="D128" s="27" t="s">
        <v>2</v>
      </c>
      <c r="E128" s="486">
        <f>3.56*7.22*0.35</f>
        <v>8.9961199999999995</v>
      </c>
      <c r="G128" s="461">
        <f t="shared" si="4"/>
        <v>0</v>
      </c>
      <c r="H128" s="501">
        <f>2.16*E128</f>
        <v>19.4316192</v>
      </c>
    </row>
    <row r="129" spans="1:8" ht="45.6" x14ac:dyDescent="0.25">
      <c r="A129" s="423" t="s">
        <v>1505</v>
      </c>
      <c r="B129" s="109" t="s">
        <v>185</v>
      </c>
      <c r="C129" s="27" t="s">
        <v>644</v>
      </c>
      <c r="D129" s="27" t="s">
        <v>26</v>
      </c>
      <c r="E129" s="486">
        <v>2</v>
      </c>
      <c r="G129" s="461">
        <f t="shared" si="4"/>
        <v>0</v>
      </c>
      <c r="H129" s="501">
        <v>0.04</v>
      </c>
    </row>
    <row r="130" spans="1:8" ht="39.6" x14ac:dyDescent="0.25">
      <c r="A130" s="423" t="s">
        <v>1509</v>
      </c>
      <c r="B130" s="109" t="s">
        <v>184</v>
      </c>
      <c r="C130" s="27" t="s">
        <v>641</v>
      </c>
      <c r="D130" s="27" t="s">
        <v>2</v>
      </c>
      <c r="E130" s="486">
        <f>(2.16+0.5+0.2)*(2.5+0.2*2+0.38*2+6.16+0.2*2)*0.38</f>
        <v>11.107096000000002</v>
      </c>
      <c r="G130" s="461">
        <f t="shared" si="4"/>
        <v>0</v>
      </c>
      <c r="H130" s="501">
        <f>2.91415*E130</f>
        <v>32.367743808400007</v>
      </c>
    </row>
    <row r="131" spans="1:8" x14ac:dyDescent="0.25">
      <c r="A131" s="423" t="s">
        <v>1512</v>
      </c>
      <c r="C131" s="27" t="s">
        <v>640</v>
      </c>
      <c r="D131" s="27" t="s">
        <v>26</v>
      </c>
      <c r="E131" s="486">
        <v>1</v>
      </c>
      <c r="G131" s="461">
        <f t="shared" si="4"/>
        <v>0</v>
      </c>
      <c r="H131" s="501">
        <v>1.4999999999999999E-2</v>
      </c>
    </row>
    <row r="132" spans="1:8" x14ac:dyDescent="0.25">
      <c r="A132" s="423" t="s">
        <v>1515</v>
      </c>
      <c r="B132" s="897"/>
      <c r="C132" s="898" t="s">
        <v>2319</v>
      </c>
      <c r="D132" s="899"/>
      <c r="E132" s="900"/>
      <c r="F132" s="901"/>
      <c r="G132" s="902"/>
      <c r="H132" s="903"/>
    </row>
    <row r="133" spans="1:8" ht="26.4" x14ac:dyDescent="0.25">
      <c r="A133" s="423" t="s">
        <v>1518</v>
      </c>
      <c r="B133" s="484" t="s">
        <v>1499</v>
      </c>
      <c r="C133" s="485" t="s">
        <v>2417</v>
      </c>
      <c r="D133" s="485" t="s">
        <v>140</v>
      </c>
      <c r="E133" s="487">
        <v>35</v>
      </c>
      <c r="F133" s="487"/>
      <c r="G133" s="488">
        <f>ROUND(F133*E133,2)</f>
        <v>0</v>
      </c>
    </row>
    <row r="134" spans="1:8" ht="26.4" x14ac:dyDescent="0.25">
      <c r="A134" s="423" t="s">
        <v>1532</v>
      </c>
      <c r="B134" s="484" t="s">
        <v>2349</v>
      </c>
      <c r="C134" s="485" t="s">
        <v>2418</v>
      </c>
      <c r="D134" s="485" t="s">
        <v>920</v>
      </c>
      <c r="E134" s="487">
        <v>35</v>
      </c>
      <c r="F134" s="487"/>
      <c r="G134" s="488">
        <f>ROUND(F134*E134,2)</f>
        <v>0</v>
      </c>
      <c r="H134" s="501">
        <v>1.25</v>
      </c>
    </row>
    <row r="135" spans="1:8" ht="26.4" x14ac:dyDescent="0.25">
      <c r="A135" s="423" t="s">
        <v>1537</v>
      </c>
      <c r="B135" s="484" t="s">
        <v>2350</v>
      </c>
      <c r="C135" s="485" t="s">
        <v>2421</v>
      </c>
      <c r="D135" s="485" t="s">
        <v>920</v>
      </c>
      <c r="E135" s="487">
        <v>1.02</v>
      </c>
      <c r="F135" s="487"/>
      <c r="G135" s="488">
        <f>ROUND(F135*E135,2)</f>
        <v>0</v>
      </c>
      <c r="H135" s="501">
        <v>1.89E-2</v>
      </c>
    </row>
    <row r="136" spans="1:8" ht="26.4" x14ac:dyDescent="0.25">
      <c r="A136" s="423" t="s">
        <v>1543</v>
      </c>
      <c r="B136" s="484" t="s">
        <v>2352</v>
      </c>
      <c r="C136" s="485" t="s">
        <v>2419</v>
      </c>
      <c r="D136" s="485" t="s">
        <v>920</v>
      </c>
      <c r="E136" s="487">
        <v>1.02</v>
      </c>
      <c r="F136" s="487"/>
      <c r="G136" s="488">
        <f>ROUND(F136*E136,2)</f>
        <v>0</v>
      </c>
      <c r="H136" s="501">
        <v>3.5000000000000003E-2</v>
      </c>
    </row>
    <row r="137" spans="1:8" x14ac:dyDescent="0.25">
      <c r="A137" s="423" t="s">
        <v>1548</v>
      </c>
      <c r="B137" s="484" t="s">
        <v>2351</v>
      </c>
      <c r="C137" s="485" t="s">
        <v>2420</v>
      </c>
      <c r="D137" s="485" t="s">
        <v>920</v>
      </c>
      <c r="E137" s="487">
        <v>2.04</v>
      </c>
      <c r="F137" s="487"/>
      <c r="G137" s="488">
        <f>ROUND(F137*E137,2)</f>
        <v>0</v>
      </c>
      <c r="H137" s="501">
        <v>5.7999999999999996E-3</v>
      </c>
    </row>
    <row r="138" spans="1:8" ht="26.4" x14ac:dyDescent="0.25">
      <c r="A138" s="423" t="s">
        <v>1553</v>
      </c>
      <c r="B138" s="120" t="s">
        <v>2353</v>
      </c>
      <c r="C138" s="120" t="s">
        <v>2416</v>
      </c>
      <c r="D138" s="120" t="s">
        <v>920</v>
      </c>
      <c r="E138" s="127">
        <v>70</v>
      </c>
      <c r="F138" s="489"/>
      <c r="G138" s="119">
        <f>E138*F138</f>
        <v>0</v>
      </c>
      <c r="H138" s="501">
        <v>0.623</v>
      </c>
    </row>
    <row r="139" spans="1:8" ht="26.4" x14ac:dyDescent="0.25">
      <c r="A139" s="423" t="s">
        <v>1558</v>
      </c>
      <c r="B139" s="109">
        <v>132251101</v>
      </c>
      <c r="C139" s="27" t="s">
        <v>2415</v>
      </c>
      <c r="D139" s="27" t="s">
        <v>2</v>
      </c>
      <c r="E139" s="486">
        <f>(0.6*35*0.5)</f>
        <v>10.5</v>
      </c>
      <c r="G139" s="461">
        <f>E139*F139</f>
        <v>0</v>
      </c>
      <c r="H139" s="501">
        <v>0</v>
      </c>
    </row>
    <row r="140" spans="1:8" x14ac:dyDescent="0.25">
      <c r="A140" s="423" t="s">
        <v>1563</v>
      </c>
      <c r="C140" s="27" t="s">
        <v>2320</v>
      </c>
    </row>
    <row r="141" spans="1:8" ht="26.4" x14ac:dyDescent="0.25">
      <c r="A141" s="423" t="s">
        <v>1568</v>
      </c>
      <c r="B141" s="156">
        <v>460242211</v>
      </c>
      <c r="C141" s="27" t="s">
        <v>377</v>
      </c>
      <c r="D141" s="11" t="s">
        <v>26</v>
      </c>
      <c r="E141" s="481">
        <v>10</v>
      </c>
      <c r="F141" s="16"/>
      <c r="G141" s="12">
        <f t="shared" ref="G141:G147" si="5">E141*F141</f>
        <v>0</v>
      </c>
    </row>
    <row r="142" spans="1:8" ht="26.4" x14ac:dyDescent="0.25">
      <c r="A142" s="423" t="s">
        <v>1574</v>
      </c>
      <c r="B142" s="156">
        <v>460242221</v>
      </c>
      <c r="C142" s="27" t="s">
        <v>2326</v>
      </c>
      <c r="D142" s="11" t="s">
        <v>28</v>
      </c>
      <c r="E142" s="481">
        <v>10</v>
      </c>
      <c r="F142" s="481"/>
      <c r="G142" s="12">
        <f t="shared" si="5"/>
        <v>0</v>
      </c>
    </row>
    <row r="143" spans="1:8" ht="13.8" x14ac:dyDescent="0.25">
      <c r="A143" s="423" t="s">
        <v>1582</v>
      </c>
      <c r="B143" s="156"/>
      <c r="C143" s="27" t="s">
        <v>2322</v>
      </c>
      <c r="D143" s="11" t="s">
        <v>15</v>
      </c>
      <c r="E143" s="481">
        <f>0.6*35</f>
        <v>21</v>
      </c>
      <c r="F143" s="481"/>
      <c r="G143" s="12">
        <f t="shared" si="5"/>
        <v>0</v>
      </c>
    </row>
    <row r="144" spans="1:8" x14ac:dyDescent="0.25">
      <c r="A144" s="423" t="s">
        <v>1587</v>
      </c>
      <c r="B144" s="109">
        <v>273321511</v>
      </c>
      <c r="C144" s="27" t="s">
        <v>2324</v>
      </c>
      <c r="D144" s="27" t="s">
        <v>2</v>
      </c>
      <c r="E144" s="486">
        <f>0.6*0.2*35</f>
        <v>4.2</v>
      </c>
      <c r="G144" s="461">
        <f t="shared" si="5"/>
        <v>0</v>
      </c>
      <c r="H144" s="501">
        <f>2.45329*E144</f>
        <v>10.303818</v>
      </c>
    </row>
    <row r="145" spans="1:8" ht="26.4" x14ac:dyDescent="0.25">
      <c r="A145" s="423" t="s">
        <v>1592</v>
      </c>
      <c r="B145" s="156">
        <v>273322611</v>
      </c>
      <c r="C145" s="27" t="s">
        <v>2327</v>
      </c>
      <c r="D145" s="27" t="s">
        <v>2</v>
      </c>
      <c r="E145" s="486">
        <f>0.6*0.2*35</f>
        <v>4.2</v>
      </c>
      <c r="G145" s="461">
        <f t="shared" si="5"/>
        <v>0</v>
      </c>
      <c r="H145" s="501">
        <f>2.45329*E145</f>
        <v>10.303818</v>
      </c>
    </row>
    <row r="146" spans="1:8" ht="13.8" x14ac:dyDescent="0.25">
      <c r="A146" s="423" t="s">
        <v>1598</v>
      </c>
      <c r="B146" s="156" t="s">
        <v>2354</v>
      </c>
      <c r="C146" s="27" t="s">
        <v>2332</v>
      </c>
      <c r="D146" s="11" t="s">
        <v>15</v>
      </c>
      <c r="E146" s="481">
        <f>0.5*35</f>
        <v>17.5</v>
      </c>
      <c r="F146" s="481"/>
      <c r="G146" s="461">
        <f t="shared" si="5"/>
        <v>0</v>
      </c>
    </row>
    <row r="147" spans="1:8" ht="26.4" x14ac:dyDescent="0.25">
      <c r="A147" s="423" t="s">
        <v>1603</v>
      </c>
      <c r="B147" s="425" t="s">
        <v>647</v>
      </c>
      <c r="C147" s="27" t="s">
        <v>2321</v>
      </c>
      <c r="D147" s="483" t="s">
        <v>15</v>
      </c>
      <c r="E147" s="500">
        <f>35*2</f>
        <v>70</v>
      </c>
      <c r="F147" s="759"/>
      <c r="G147" s="12">
        <f t="shared" si="5"/>
        <v>0</v>
      </c>
    </row>
    <row r="148" spans="1:8" ht="26.4" x14ac:dyDescent="0.25">
      <c r="A148" s="423" t="s">
        <v>1609</v>
      </c>
      <c r="B148" s="425">
        <v>174151102</v>
      </c>
      <c r="C148" s="27" t="s">
        <v>2325</v>
      </c>
      <c r="D148" s="23" t="s">
        <v>2</v>
      </c>
      <c r="E148" s="99">
        <f>0.6*0.5*35</f>
        <v>10.5</v>
      </c>
      <c r="F148" s="501"/>
      <c r="G148" s="502">
        <f>E148*F148</f>
        <v>0</v>
      </c>
      <c r="H148" s="499"/>
    </row>
    <row r="149" spans="1:8" x14ac:dyDescent="0.25">
      <c r="A149" s="423" t="s">
        <v>2184</v>
      </c>
      <c r="B149" s="897"/>
      <c r="C149" s="898" t="s">
        <v>2634</v>
      </c>
      <c r="D149" s="899"/>
      <c r="E149" s="900"/>
      <c r="F149" s="901"/>
      <c r="G149" s="902"/>
      <c r="H149" s="903"/>
    </row>
    <row r="150" spans="1:8" x14ac:dyDescent="0.25">
      <c r="A150" s="423" t="s">
        <v>2185</v>
      </c>
      <c r="B150" s="109">
        <v>721290111</v>
      </c>
      <c r="C150" s="27" t="s">
        <v>173</v>
      </c>
      <c r="D150" s="27" t="s">
        <v>28</v>
      </c>
      <c r="E150" s="486">
        <f>1.9+1.6</f>
        <v>3.5</v>
      </c>
      <c r="G150" s="461">
        <f t="shared" ref="G150:G156" si="6">E150*F150</f>
        <v>0</v>
      </c>
    </row>
    <row r="151" spans="1:8" ht="26.4" x14ac:dyDescent="0.25">
      <c r="A151" s="423" t="s">
        <v>2186</v>
      </c>
      <c r="B151" s="109">
        <v>721290112</v>
      </c>
      <c r="C151" s="27" t="s">
        <v>174</v>
      </c>
      <c r="D151" s="27" t="s">
        <v>28</v>
      </c>
      <c r="E151" s="486">
        <f>38.11+1.6+14.45+1.6+4.31+1.6+5.8+1</f>
        <v>68.47</v>
      </c>
      <c r="G151" s="461">
        <f t="shared" si="6"/>
        <v>0</v>
      </c>
    </row>
    <row r="152" spans="1:8" x14ac:dyDescent="0.25">
      <c r="A152" s="423" t="s">
        <v>2187</v>
      </c>
      <c r="C152" s="27" t="s">
        <v>648</v>
      </c>
      <c r="D152" s="27" t="s">
        <v>196</v>
      </c>
      <c r="E152" s="486">
        <v>2</v>
      </c>
      <c r="G152" s="461">
        <f t="shared" si="6"/>
        <v>0</v>
      </c>
    </row>
    <row r="153" spans="1:8" x14ac:dyDescent="0.25">
      <c r="A153" s="423" t="s">
        <v>2188</v>
      </c>
      <c r="C153" s="27" t="s">
        <v>175</v>
      </c>
      <c r="D153" s="27" t="s">
        <v>196</v>
      </c>
      <c r="E153" s="486">
        <v>1</v>
      </c>
      <c r="G153" s="461">
        <f t="shared" si="6"/>
        <v>0</v>
      </c>
    </row>
    <row r="154" spans="1:8" x14ac:dyDescent="0.25">
      <c r="A154" s="423" t="s">
        <v>2189</v>
      </c>
      <c r="B154" s="116" t="s">
        <v>360</v>
      </c>
      <c r="C154" s="116" t="s">
        <v>227</v>
      </c>
      <c r="D154" s="116" t="s">
        <v>358</v>
      </c>
      <c r="E154" s="106">
        <f>8*4</f>
        <v>32</v>
      </c>
      <c r="F154" s="107"/>
      <c r="G154" s="115">
        <f t="shared" si="6"/>
        <v>0</v>
      </c>
    </row>
    <row r="155" spans="1:8" x14ac:dyDescent="0.25">
      <c r="A155" s="423" t="s">
        <v>2190</v>
      </c>
      <c r="B155" s="120"/>
      <c r="C155" s="120" t="s">
        <v>662</v>
      </c>
      <c r="D155" s="109" t="s">
        <v>26</v>
      </c>
      <c r="E155" s="503">
        <v>1</v>
      </c>
      <c r="F155" s="760"/>
      <c r="G155" s="121">
        <f t="shared" si="6"/>
        <v>0</v>
      </c>
    </row>
    <row r="156" spans="1:8" x14ac:dyDescent="0.25">
      <c r="A156" s="423" t="s">
        <v>2191</v>
      </c>
      <c r="B156" s="120"/>
      <c r="C156" s="27" t="s">
        <v>669</v>
      </c>
      <c r="D156" s="27" t="s">
        <v>26</v>
      </c>
      <c r="E156" s="504">
        <v>1</v>
      </c>
      <c r="F156" s="504"/>
      <c r="G156" s="121">
        <f t="shared" si="6"/>
        <v>0</v>
      </c>
    </row>
  </sheetData>
  <phoneticPr fontId="0" type="noConversion"/>
  <printOptions gridLines="1"/>
  <pageMargins left="0.59055118110236227" right="0.59055118110236227" top="0.59055118110236227" bottom="0.59055118110236227" header="0.31496062992125984" footer="0.31496062992125984"/>
  <pageSetup paperSize="9" scale="70" fitToHeight="100" orientation="portrait" r:id="rId1"/>
  <headerFooter alignWithMargins="0">
    <oddFoote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I159"/>
  <sheetViews>
    <sheetView topLeftCell="A37" zoomScaleNormal="100" workbookViewId="0">
      <selection activeCell="F46" sqref="F46:F156"/>
    </sheetView>
  </sheetViews>
  <sheetFormatPr defaultRowHeight="13.2" x14ac:dyDescent="0.25"/>
  <cols>
    <col min="1" max="1" width="6" style="420" customWidth="1"/>
    <col min="2" max="2" width="9" style="105" customWidth="1"/>
    <col min="3" max="3" width="75.5546875" style="116" customWidth="1"/>
    <col min="4" max="4" width="5" style="106" customWidth="1"/>
    <col min="5" max="5" width="8.88671875" style="106" customWidth="1"/>
    <col min="6" max="6" width="10.88671875" style="107" bestFit="1" customWidth="1"/>
    <col min="7" max="7" width="11.6640625" style="115" customWidth="1"/>
    <col min="8" max="8" width="9.6640625" style="125" customWidth="1"/>
    <col min="9" max="16384" width="8.88671875" style="116"/>
  </cols>
  <sheetData>
    <row r="1" spans="1:9" x14ac:dyDescent="0.25">
      <c r="A1" s="419"/>
      <c r="C1" s="430" t="s">
        <v>95</v>
      </c>
      <c r="E1" s="101"/>
    </row>
    <row r="2" spans="1:9" x14ac:dyDescent="0.25">
      <c r="A2" s="419"/>
      <c r="B2" s="117"/>
      <c r="C2" s="464" t="s">
        <v>96</v>
      </c>
      <c r="E2" s="101"/>
    </row>
    <row r="3" spans="1:9" x14ac:dyDescent="0.25">
      <c r="A3" s="419"/>
      <c r="B3" s="117"/>
      <c r="C3" s="464" t="s">
        <v>97</v>
      </c>
      <c r="E3" s="101"/>
    </row>
    <row r="4" spans="1:9" x14ac:dyDescent="0.25">
      <c r="A4" s="419"/>
      <c r="B4" s="117"/>
      <c r="C4" s="420"/>
      <c r="E4" s="101"/>
      <c r="F4" s="118"/>
      <c r="G4" s="119"/>
    </row>
    <row r="5" spans="1:9" x14ac:dyDescent="0.25">
      <c r="A5" s="419"/>
      <c r="C5" s="464"/>
      <c r="E5" s="101"/>
      <c r="F5" s="118"/>
      <c r="G5" s="119"/>
    </row>
    <row r="6" spans="1:9" x14ac:dyDescent="0.25">
      <c r="A6" s="419"/>
      <c r="B6" s="117"/>
      <c r="C6" s="464" t="s">
        <v>98</v>
      </c>
      <c r="E6" s="101"/>
      <c r="F6" s="118"/>
      <c r="G6" s="119"/>
    </row>
    <row r="7" spans="1:9" x14ac:dyDescent="0.25">
      <c r="A7" s="419"/>
      <c r="B7" s="117"/>
      <c r="C7" s="430" t="s">
        <v>197</v>
      </c>
      <c r="E7" s="101"/>
      <c r="F7" s="118"/>
      <c r="G7" s="119"/>
    </row>
    <row r="8" spans="1:9" x14ac:dyDescent="0.25">
      <c r="A8" s="419"/>
      <c r="B8" s="117"/>
      <c r="C8" s="464"/>
      <c r="E8" s="101"/>
      <c r="F8" s="118"/>
      <c r="G8" s="119"/>
    </row>
    <row r="9" spans="1:9" x14ac:dyDescent="0.25">
      <c r="A9" s="419"/>
      <c r="B9" s="117"/>
      <c r="C9" s="464"/>
      <c r="E9" s="101"/>
      <c r="F9" s="118"/>
      <c r="G9" s="119"/>
    </row>
    <row r="10" spans="1:9" x14ac:dyDescent="0.25">
      <c r="A10" s="419"/>
      <c r="B10" s="117"/>
      <c r="C10" s="464"/>
      <c r="E10" s="101"/>
      <c r="F10" s="118"/>
      <c r="G10" s="119"/>
    </row>
    <row r="11" spans="1:9" x14ac:dyDescent="0.25">
      <c r="A11" s="419"/>
      <c r="B11" s="117"/>
      <c r="C11" s="464" t="s">
        <v>100</v>
      </c>
      <c r="E11" s="101"/>
      <c r="F11" s="118"/>
      <c r="G11" s="119"/>
      <c r="I11" s="147"/>
    </row>
    <row r="12" spans="1:9" x14ac:dyDescent="0.25">
      <c r="A12" s="419" t="s">
        <v>99</v>
      </c>
      <c r="B12" s="117"/>
      <c r="C12" s="464"/>
      <c r="E12" s="101"/>
      <c r="F12" s="118"/>
      <c r="G12" s="119"/>
      <c r="I12" s="147"/>
    </row>
    <row r="13" spans="1:9" x14ac:dyDescent="0.25">
      <c r="A13" s="419" t="s">
        <v>101</v>
      </c>
      <c r="B13" s="117"/>
      <c r="C13" s="430" t="s">
        <v>198</v>
      </c>
      <c r="D13" s="106" t="s">
        <v>71</v>
      </c>
      <c r="E13" s="101"/>
      <c r="F13" s="118"/>
      <c r="G13" s="124">
        <f>G15 G15</f>
        <v>0</v>
      </c>
      <c r="I13" s="147"/>
    </row>
    <row r="14" spans="1:9" x14ac:dyDescent="0.25">
      <c r="A14" s="419" t="s">
        <v>102</v>
      </c>
      <c r="B14" s="117"/>
      <c r="C14" s="464"/>
      <c r="E14" s="101"/>
      <c r="F14" s="118"/>
      <c r="G14" s="119"/>
      <c r="I14" s="147"/>
    </row>
    <row r="15" spans="1:9" x14ac:dyDescent="0.25">
      <c r="A15" s="419" t="s">
        <v>103</v>
      </c>
      <c r="B15" s="117"/>
      <c r="C15" s="13" t="s">
        <v>104</v>
      </c>
      <c r="D15" s="106" t="s">
        <v>71</v>
      </c>
      <c r="E15" s="101"/>
      <c r="F15" s="118"/>
      <c r="G15" s="124">
        <f>G44</f>
        <v>0</v>
      </c>
    </row>
    <row r="16" spans="1:9" x14ac:dyDescent="0.25">
      <c r="A16" s="419" t="s">
        <v>105</v>
      </c>
      <c r="B16" s="117"/>
      <c r="C16" s="13" t="s">
        <v>2542</v>
      </c>
      <c r="D16" s="28" t="s">
        <v>71</v>
      </c>
      <c r="E16" s="32">
        <v>0.03</v>
      </c>
      <c r="F16" s="97"/>
      <c r="G16" s="941">
        <f>G15*E16</f>
        <v>0</v>
      </c>
    </row>
    <row r="17" spans="1:8" x14ac:dyDescent="0.25">
      <c r="A17" s="419" t="s">
        <v>107</v>
      </c>
      <c r="B17" s="117"/>
      <c r="C17" s="13" t="s">
        <v>108</v>
      </c>
      <c r="D17" s="106" t="s">
        <v>71</v>
      </c>
      <c r="E17" s="101"/>
      <c r="F17" s="118"/>
      <c r="G17" s="124">
        <f>SUM(G15:G16)</f>
        <v>0</v>
      </c>
    </row>
    <row r="18" spans="1:8" x14ac:dyDescent="0.25">
      <c r="A18" s="419" t="s">
        <v>109</v>
      </c>
      <c r="B18" s="117"/>
      <c r="C18" s="13" t="s">
        <v>110</v>
      </c>
      <c r="D18" s="106" t="s">
        <v>71</v>
      </c>
      <c r="E18" s="101">
        <v>0.21</v>
      </c>
      <c r="F18" s="118"/>
      <c r="G18" s="119">
        <f>G17*E18</f>
        <v>0</v>
      </c>
    </row>
    <row r="19" spans="1:8" x14ac:dyDescent="0.25">
      <c r="A19" s="419" t="s">
        <v>111</v>
      </c>
      <c r="B19" s="117"/>
      <c r="C19" s="13"/>
      <c r="E19" s="101"/>
      <c r="F19" s="118"/>
      <c r="G19" s="119"/>
    </row>
    <row r="20" spans="1:8" x14ac:dyDescent="0.25">
      <c r="A20" s="419" t="s">
        <v>112</v>
      </c>
      <c r="B20" s="117"/>
      <c r="C20" s="13" t="s">
        <v>113</v>
      </c>
      <c r="D20" s="106" t="s">
        <v>71</v>
      </c>
      <c r="E20" s="101"/>
      <c r="F20" s="118"/>
      <c r="G20" s="124">
        <f>SUM(G17:G18)</f>
        <v>0</v>
      </c>
    </row>
    <row r="21" spans="1:8" x14ac:dyDescent="0.25">
      <c r="A21" s="419" t="s">
        <v>928</v>
      </c>
      <c r="B21" s="117"/>
      <c r="C21" s="120"/>
      <c r="E21" s="101"/>
      <c r="F21" s="118"/>
      <c r="G21" s="155"/>
    </row>
    <row r="22" spans="1:8" x14ac:dyDescent="0.25">
      <c r="A22" s="419" t="s">
        <v>934</v>
      </c>
      <c r="B22" s="117"/>
      <c r="C22" s="120"/>
      <c r="E22" s="101"/>
      <c r="F22" s="118"/>
      <c r="G22" s="119"/>
    </row>
    <row r="23" spans="1:8" s="120" customFormat="1" ht="22.8" x14ac:dyDescent="0.25">
      <c r="A23" s="761" t="s">
        <v>114</v>
      </c>
      <c r="B23" s="511" t="s">
        <v>432</v>
      </c>
      <c r="C23" s="762" t="s">
        <v>115</v>
      </c>
      <c r="D23" s="426" t="s">
        <v>116</v>
      </c>
      <c r="E23" s="427" t="s">
        <v>117</v>
      </c>
      <c r="F23" s="763" t="s">
        <v>118</v>
      </c>
      <c r="G23" s="428" t="s">
        <v>119</v>
      </c>
      <c r="H23" s="617" t="s">
        <v>607</v>
      </c>
    </row>
    <row r="24" spans="1:8" x14ac:dyDescent="0.25">
      <c r="A24" s="419" t="s">
        <v>123</v>
      </c>
      <c r="B24" s="117"/>
      <c r="C24" s="120" t="s">
        <v>142</v>
      </c>
      <c r="E24" s="101"/>
      <c r="F24" s="118"/>
      <c r="G24" s="121"/>
    </row>
    <row r="25" spans="1:8" ht="26.4" x14ac:dyDescent="0.25">
      <c r="A25" s="419" t="s">
        <v>948</v>
      </c>
      <c r="B25" s="117"/>
      <c r="C25" s="120" t="s">
        <v>246</v>
      </c>
      <c r="E25" s="101"/>
      <c r="F25" s="118"/>
      <c r="G25" s="119"/>
    </row>
    <row r="26" spans="1:8" ht="79.2" x14ac:dyDescent="0.25">
      <c r="A26" s="419" t="s">
        <v>967</v>
      </c>
      <c r="B26" s="117"/>
      <c r="C26" s="120" t="s">
        <v>144</v>
      </c>
      <c r="E26" s="101"/>
      <c r="F26" s="118"/>
      <c r="G26" s="119"/>
    </row>
    <row r="27" spans="1:8" ht="26.4" x14ac:dyDescent="0.25">
      <c r="A27" s="419" t="s">
        <v>974</v>
      </c>
      <c r="B27" s="117"/>
      <c r="C27" s="21" t="s">
        <v>2360</v>
      </c>
      <c r="E27" s="101"/>
      <c r="F27" s="118"/>
      <c r="G27" s="119"/>
    </row>
    <row r="28" spans="1:8" x14ac:dyDescent="0.25">
      <c r="A28" s="419" t="s">
        <v>980</v>
      </c>
      <c r="B28" s="117"/>
      <c r="C28" s="120" t="s">
        <v>245</v>
      </c>
      <c r="E28" s="101"/>
      <c r="F28" s="118"/>
      <c r="G28" s="119"/>
    </row>
    <row r="29" spans="1:8" ht="52.8" x14ac:dyDescent="0.25">
      <c r="A29" s="419" t="s">
        <v>990</v>
      </c>
      <c r="B29" s="117"/>
      <c r="C29" s="120" t="s">
        <v>146</v>
      </c>
      <c r="E29" s="101"/>
      <c r="F29" s="118"/>
      <c r="G29" s="119"/>
    </row>
    <row r="30" spans="1:8" x14ac:dyDescent="0.25">
      <c r="A30" s="419" t="s">
        <v>996</v>
      </c>
      <c r="B30" s="117"/>
      <c r="C30" s="120" t="s">
        <v>147</v>
      </c>
      <c r="E30" s="101"/>
      <c r="F30" s="118"/>
      <c r="G30" s="119"/>
    </row>
    <row r="31" spans="1:8" ht="26.4" x14ac:dyDescent="0.25">
      <c r="A31" s="419" t="s">
        <v>1002</v>
      </c>
      <c r="B31" s="117"/>
      <c r="C31" s="120" t="s">
        <v>148</v>
      </c>
      <c r="E31" s="101"/>
      <c r="F31" s="118"/>
      <c r="G31" s="119"/>
    </row>
    <row r="32" spans="1:8" ht="26.4" x14ac:dyDescent="0.25">
      <c r="A32" s="419" t="s">
        <v>1008</v>
      </c>
      <c r="B32" s="117"/>
      <c r="C32" s="435" t="s">
        <v>431</v>
      </c>
      <c r="E32" s="101"/>
      <c r="F32" s="118"/>
      <c r="G32" s="119"/>
    </row>
    <row r="33" spans="1:8" x14ac:dyDescent="0.25">
      <c r="A33" s="419" t="s">
        <v>1012</v>
      </c>
      <c r="B33" s="117"/>
      <c r="C33" s="120" t="s">
        <v>247</v>
      </c>
      <c r="E33" s="101"/>
      <c r="F33" s="118"/>
      <c r="G33" s="119"/>
    </row>
    <row r="34" spans="1:8" x14ac:dyDescent="0.25">
      <c r="A34" s="419" t="s">
        <v>1018</v>
      </c>
      <c r="B34" s="117"/>
      <c r="C34" s="120" t="s">
        <v>151</v>
      </c>
      <c r="E34" s="101"/>
      <c r="F34" s="118"/>
      <c r="G34" s="119"/>
    </row>
    <row r="35" spans="1:8" x14ac:dyDescent="0.25">
      <c r="A35" s="419" t="s">
        <v>1022</v>
      </c>
      <c r="B35" s="117"/>
      <c r="C35" s="21" t="s">
        <v>2358</v>
      </c>
      <c r="E35" s="101"/>
      <c r="F35" s="118"/>
      <c r="G35" s="119"/>
    </row>
    <row r="36" spans="1:8" ht="26.4" x14ac:dyDescent="0.25">
      <c r="A36" s="419" t="s">
        <v>1026</v>
      </c>
      <c r="B36" s="117"/>
      <c r="C36" s="120" t="s">
        <v>152</v>
      </c>
      <c r="E36" s="101"/>
      <c r="F36" s="118"/>
      <c r="G36" s="119"/>
    </row>
    <row r="37" spans="1:8" ht="26.4" x14ac:dyDescent="0.25">
      <c r="A37" s="419" t="s">
        <v>1030</v>
      </c>
      <c r="B37" s="117"/>
      <c r="C37" s="120" t="s">
        <v>153</v>
      </c>
      <c r="E37" s="101"/>
      <c r="F37" s="118"/>
      <c r="G37" s="119"/>
    </row>
    <row r="38" spans="1:8" x14ac:dyDescent="0.25">
      <c r="A38" s="419" t="s">
        <v>1034</v>
      </c>
      <c r="B38" s="117"/>
      <c r="C38" s="120" t="s">
        <v>154</v>
      </c>
      <c r="E38" s="101"/>
      <c r="F38" s="118"/>
      <c r="G38" s="119"/>
    </row>
    <row r="39" spans="1:8" x14ac:dyDescent="0.25">
      <c r="A39" s="419" t="s">
        <v>1038</v>
      </c>
      <c r="B39" s="117"/>
      <c r="C39" s="28" t="s">
        <v>2359</v>
      </c>
      <c r="E39" s="101"/>
      <c r="F39" s="118"/>
      <c r="G39" s="119"/>
    </row>
    <row r="40" spans="1:8" ht="26.4" x14ac:dyDescent="0.25">
      <c r="A40" s="419" t="s">
        <v>1042</v>
      </c>
      <c r="B40" s="117"/>
      <c r="C40" s="21" t="s">
        <v>2361</v>
      </c>
      <c r="E40" s="101"/>
      <c r="F40" s="118"/>
      <c r="G40" s="119"/>
    </row>
    <row r="41" spans="1:8" ht="39.6" x14ac:dyDescent="0.25">
      <c r="A41" s="419" t="s">
        <v>1046</v>
      </c>
      <c r="B41" s="117"/>
      <c r="C41" s="21" t="s">
        <v>2180</v>
      </c>
      <c r="E41" s="101"/>
      <c r="F41" s="118"/>
      <c r="G41" s="119"/>
    </row>
    <row r="42" spans="1:8" x14ac:dyDescent="0.25">
      <c r="A42" s="419" t="s">
        <v>1050</v>
      </c>
      <c r="B42" s="117"/>
      <c r="C42" s="27" t="s">
        <v>2179</v>
      </c>
      <c r="E42" s="101"/>
      <c r="F42" s="118"/>
      <c r="G42" s="119"/>
    </row>
    <row r="43" spans="1:8" x14ac:dyDescent="0.25">
      <c r="A43" s="419" t="s">
        <v>1054</v>
      </c>
      <c r="B43" s="117"/>
      <c r="C43" s="27" t="s">
        <v>2355</v>
      </c>
      <c r="E43" s="101"/>
      <c r="F43" s="118"/>
      <c r="G43" s="119"/>
    </row>
    <row r="44" spans="1:8" x14ac:dyDescent="0.25">
      <c r="A44" s="419" t="s">
        <v>1058</v>
      </c>
      <c r="B44" s="117"/>
      <c r="C44" s="430" t="s">
        <v>269</v>
      </c>
      <c r="D44" s="417" t="s">
        <v>71</v>
      </c>
      <c r="E44" s="122" t="s">
        <v>121</v>
      </c>
      <c r="F44" s="123"/>
      <c r="G44" s="124">
        <f>SUM(G46:G157)</f>
        <v>0</v>
      </c>
      <c r="H44" s="627">
        <f>SUM(H46:H154)</f>
        <v>284.42255503749999</v>
      </c>
    </row>
    <row r="45" spans="1:8" x14ac:dyDescent="0.25">
      <c r="A45" s="419" t="s">
        <v>1062</v>
      </c>
      <c r="B45" s="925"/>
      <c r="C45" s="927" t="s">
        <v>2441</v>
      </c>
      <c r="D45" s="928"/>
      <c r="E45" s="929"/>
      <c r="F45" s="930"/>
      <c r="G45" s="931"/>
      <c r="H45" s="932"/>
    </row>
    <row r="46" spans="1:8" ht="26.4" x14ac:dyDescent="0.25">
      <c r="A46" s="419" t="s">
        <v>1066</v>
      </c>
      <c r="B46" s="117" t="s">
        <v>229</v>
      </c>
      <c r="C46" s="120" t="s">
        <v>2362</v>
      </c>
      <c r="D46" s="106" t="s">
        <v>28</v>
      </c>
      <c r="E46" s="101">
        <v>8.0299999999999994</v>
      </c>
      <c r="F46" s="118"/>
      <c r="G46" s="119">
        <f>E46*F46</f>
        <v>0</v>
      </c>
      <c r="H46" s="125">
        <v>0</v>
      </c>
    </row>
    <row r="47" spans="1:8" ht="26.4" x14ac:dyDescent="0.25">
      <c r="A47" s="419" t="s">
        <v>1070</v>
      </c>
      <c r="B47" s="117" t="s">
        <v>230</v>
      </c>
      <c r="C47" s="120" t="s">
        <v>2363</v>
      </c>
      <c r="D47" s="106" t="s">
        <v>28</v>
      </c>
      <c r="E47" s="101">
        <f>8.03*1.03</f>
        <v>8.2708999999999993</v>
      </c>
      <c r="F47" s="118"/>
      <c r="G47" s="119">
        <f>E47*F47</f>
        <v>0</v>
      </c>
      <c r="H47" s="125">
        <f>0.00067*E47</f>
        <v>5.5415029999999997E-3</v>
      </c>
    </row>
    <row r="48" spans="1:8" ht="39.6" x14ac:dyDescent="0.25">
      <c r="A48" s="419" t="s">
        <v>1075</v>
      </c>
      <c r="B48" s="117" t="s">
        <v>231</v>
      </c>
      <c r="C48" s="120" t="s">
        <v>2364</v>
      </c>
      <c r="D48" s="106" t="s">
        <v>26</v>
      </c>
      <c r="E48" s="101">
        <v>1</v>
      </c>
      <c r="F48" s="118"/>
      <c r="G48" s="119">
        <f t="shared" ref="G48:G74" si="0">E48*F48</f>
        <v>0</v>
      </c>
      <c r="H48" s="125">
        <v>0.01</v>
      </c>
    </row>
    <row r="49" spans="1:8" x14ac:dyDescent="0.25">
      <c r="A49" s="419" t="s">
        <v>1079</v>
      </c>
      <c r="B49" s="925"/>
      <c r="C49" s="926" t="s">
        <v>199</v>
      </c>
      <c r="D49" s="928"/>
      <c r="E49" s="929"/>
      <c r="F49" s="930"/>
      <c r="G49" s="931"/>
      <c r="H49" s="932"/>
    </row>
    <row r="50" spans="1:8" x14ac:dyDescent="0.25">
      <c r="A50" s="419" t="s">
        <v>1083</v>
      </c>
      <c r="B50" s="117">
        <v>56230512</v>
      </c>
      <c r="C50" s="431" t="s">
        <v>2365</v>
      </c>
      <c r="D50" s="106" t="s">
        <v>26</v>
      </c>
      <c r="E50" s="101">
        <v>1</v>
      </c>
      <c r="F50" s="118"/>
      <c r="G50" s="119">
        <f t="shared" si="0"/>
        <v>0</v>
      </c>
      <c r="H50" s="125">
        <f>0.075*1</f>
        <v>7.4999999999999997E-2</v>
      </c>
    </row>
    <row r="51" spans="1:8" x14ac:dyDescent="0.25">
      <c r="A51" s="419" t="s">
        <v>1087</v>
      </c>
      <c r="B51" s="117">
        <v>893811112</v>
      </c>
      <c r="C51" s="431" t="s">
        <v>234</v>
      </c>
      <c r="D51" s="106" t="s">
        <v>26</v>
      </c>
      <c r="E51" s="101">
        <v>1</v>
      </c>
      <c r="F51" s="118"/>
      <c r="G51" s="119">
        <f t="shared" si="0"/>
        <v>0</v>
      </c>
      <c r="H51" s="125">
        <v>1.4999999999999999E-2</v>
      </c>
    </row>
    <row r="52" spans="1:8" ht="26.4" x14ac:dyDescent="0.25">
      <c r="A52" s="419" t="s">
        <v>1092</v>
      </c>
      <c r="B52" s="117">
        <v>28614188</v>
      </c>
      <c r="C52" s="431" t="s">
        <v>2366</v>
      </c>
      <c r="D52" s="106" t="s">
        <v>26</v>
      </c>
      <c r="E52" s="101">
        <v>1</v>
      </c>
      <c r="F52" s="118"/>
      <c r="G52" s="119">
        <f t="shared" si="0"/>
        <v>0</v>
      </c>
      <c r="H52" s="125">
        <v>5.3800000000000001E-2</v>
      </c>
    </row>
    <row r="53" spans="1:8" ht="26.4" x14ac:dyDescent="0.25">
      <c r="A53" s="419" t="s">
        <v>1097</v>
      </c>
      <c r="B53" s="117"/>
      <c r="C53" s="120" t="s">
        <v>2367</v>
      </c>
      <c r="E53" s="101"/>
      <c r="F53" s="118"/>
      <c r="G53" s="119"/>
    </row>
    <row r="54" spans="1:8" ht="26.4" x14ac:dyDescent="0.25">
      <c r="A54" s="419" t="s">
        <v>1102</v>
      </c>
      <c r="B54" s="117" t="s">
        <v>649</v>
      </c>
      <c r="C54" s="120" t="s">
        <v>2368</v>
      </c>
      <c r="D54" s="106" t="s">
        <v>15</v>
      </c>
      <c r="E54" s="101">
        <f>1.325*1.625</f>
        <v>2.1531249999999997</v>
      </c>
      <c r="F54" s="118"/>
      <c r="G54" s="119">
        <f t="shared" si="0"/>
        <v>0</v>
      </c>
      <c r="H54" s="125">
        <f>0.24794*E54</f>
        <v>0.53384581249999996</v>
      </c>
    </row>
    <row r="55" spans="1:8" ht="26.4" x14ac:dyDescent="0.25">
      <c r="A55" s="419" t="s">
        <v>1106</v>
      </c>
      <c r="B55" s="117" t="s">
        <v>94</v>
      </c>
      <c r="C55" s="120" t="s">
        <v>2369</v>
      </c>
      <c r="D55" s="106" t="s">
        <v>2</v>
      </c>
      <c r="E55" s="101">
        <f>(1.625+0.1*2+1.325)*2*0.1*2</f>
        <v>1.26</v>
      </c>
      <c r="F55" s="118"/>
      <c r="G55" s="119">
        <f t="shared" si="0"/>
        <v>0</v>
      </c>
      <c r="H55" s="125">
        <f>2.91415*E55</f>
        <v>3.6718289999999998</v>
      </c>
    </row>
    <row r="56" spans="1:8" ht="26.4" x14ac:dyDescent="0.25">
      <c r="A56" s="419" t="s">
        <v>1111</v>
      </c>
      <c r="B56" s="117">
        <v>59224656</v>
      </c>
      <c r="C56" s="120" t="s">
        <v>2370</v>
      </c>
      <c r="D56" s="106" t="s">
        <v>26</v>
      </c>
      <c r="E56" s="101">
        <v>1</v>
      </c>
      <c r="F56" s="118"/>
      <c r="G56" s="119">
        <f t="shared" si="0"/>
        <v>0</v>
      </c>
      <c r="H56" s="125">
        <v>0.04</v>
      </c>
    </row>
    <row r="57" spans="1:8" x14ac:dyDescent="0.25">
      <c r="A57" s="419" t="s">
        <v>1116</v>
      </c>
      <c r="B57" s="117">
        <v>894414111</v>
      </c>
      <c r="C57" s="120" t="s">
        <v>232</v>
      </c>
      <c r="D57" s="106" t="s">
        <v>26</v>
      </c>
      <c r="E57" s="101">
        <v>1</v>
      </c>
      <c r="F57" s="118"/>
      <c r="G57" s="119">
        <f t="shared" si="0"/>
        <v>0</v>
      </c>
      <c r="H57" s="125">
        <f>0.02854 *E57</f>
        <v>2.8539999999999999E-2</v>
      </c>
    </row>
    <row r="58" spans="1:8" ht="26.4" x14ac:dyDescent="0.25">
      <c r="A58" s="419" t="s">
        <v>1121</v>
      </c>
      <c r="B58" s="117">
        <v>272362021</v>
      </c>
      <c r="C58" s="120" t="s">
        <v>2371</v>
      </c>
      <c r="D58" s="106" t="s">
        <v>45</v>
      </c>
      <c r="E58" s="101">
        <f>2.15*4.5*0.001</f>
        <v>9.6749999999999996E-3</v>
      </c>
      <c r="F58" s="118"/>
      <c r="G58" s="119">
        <f t="shared" si="0"/>
        <v>0</v>
      </c>
      <c r="H58" s="125">
        <v>0.01</v>
      </c>
    </row>
    <row r="59" spans="1:8" ht="26.4" x14ac:dyDescent="0.25">
      <c r="A59" s="419" t="s">
        <v>1125</v>
      </c>
      <c r="B59" s="117">
        <v>899620151</v>
      </c>
      <c r="C59" s="120" t="s">
        <v>2372</v>
      </c>
      <c r="D59" s="106" t="s">
        <v>2</v>
      </c>
      <c r="E59" s="101">
        <f>(0.9+1.625)*2*1.8*0.3</f>
        <v>2.7269999999999999</v>
      </c>
      <c r="F59" s="118"/>
      <c r="G59" s="119">
        <f t="shared" si="0"/>
        <v>0</v>
      </c>
      <c r="H59" s="125">
        <f>2.45329*E59</f>
        <v>6.6901218299999998</v>
      </c>
    </row>
    <row r="60" spans="1:8" x14ac:dyDescent="0.25">
      <c r="A60" s="419" t="s">
        <v>1130</v>
      </c>
      <c r="B60" s="117">
        <v>899640111</v>
      </c>
      <c r="C60" s="120" t="s">
        <v>2373</v>
      </c>
      <c r="D60" s="106" t="s">
        <v>15</v>
      </c>
      <c r="E60" s="101">
        <f>(1.625+1.325)*2*1.8</f>
        <v>10.620000000000001</v>
      </c>
      <c r="F60" s="118"/>
      <c r="G60" s="119">
        <f t="shared" si="0"/>
        <v>0</v>
      </c>
      <c r="H60" s="125">
        <f>0.0042*E60</f>
        <v>4.4604000000000005E-2</v>
      </c>
    </row>
    <row r="61" spans="1:8" x14ac:dyDescent="0.25">
      <c r="A61" s="419" t="s">
        <v>1134</v>
      </c>
      <c r="B61" s="117">
        <v>894608112</v>
      </c>
      <c r="C61" s="435" t="s">
        <v>2374</v>
      </c>
      <c r="D61" s="126" t="s">
        <v>45</v>
      </c>
      <c r="E61" s="127">
        <f>50*E59*0.001</f>
        <v>0.13635</v>
      </c>
      <c r="F61" s="118"/>
      <c r="G61" s="119">
        <f t="shared" si="0"/>
        <v>0</v>
      </c>
      <c r="H61" s="125">
        <f>1.04232*E61</f>
        <v>0.14212033199999999</v>
      </c>
    </row>
    <row r="62" spans="1:8" x14ac:dyDescent="0.25">
      <c r="A62" s="419" t="s">
        <v>1139</v>
      </c>
      <c r="B62" s="117">
        <v>767861001</v>
      </c>
      <c r="C62" s="435" t="s">
        <v>2375</v>
      </c>
      <c r="D62" s="126" t="s">
        <v>26</v>
      </c>
      <c r="E62" s="127">
        <v>1</v>
      </c>
      <c r="F62" s="118"/>
      <c r="G62" s="119">
        <f t="shared" si="0"/>
        <v>0</v>
      </c>
      <c r="H62" s="125">
        <v>5.0000000000000001E-3</v>
      </c>
    </row>
    <row r="63" spans="1:8" ht="26.4" x14ac:dyDescent="0.25">
      <c r="A63" s="419" t="s">
        <v>1143</v>
      </c>
      <c r="B63" s="117">
        <v>8661982</v>
      </c>
      <c r="C63" s="526" t="s">
        <v>243</v>
      </c>
      <c r="D63" s="126" t="s">
        <v>26</v>
      </c>
      <c r="E63" s="127">
        <v>1</v>
      </c>
      <c r="F63" s="118"/>
      <c r="G63" s="119">
        <f t="shared" si="0"/>
        <v>0</v>
      </c>
      <c r="H63" s="125">
        <v>1.4999999999999999E-2</v>
      </c>
    </row>
    <row r="64" spans="1:8" x14ac:dyDescent="0.25">
      <c r="A64" s="419" t="s">
        <v>1148</v>
      </c>
      <c r="B64" s="117"/>
      <c r="C64" s="435" t="s">
        <v>2376</v>
      </c>
      <c r="D64" s="126" t="s">
        <v>28</v>
      </c>
      <c r="E64" s="127">
        <f>1.8*2</f>
        <v>3.6</v>
      </c>
      <c r="F64" s="118"/>
      <c r="G64" s="119">
        <f t="shared" si="0"/>
        <v>0</v>
      </c>
      <c r="H64" s="125">
        <v>2.5000000000000001E-2</v>
      </c>
    </row>
    <row r="65" spans="1:8" x14ac:dyDescent="0.25">
      <c r="A65" s="419" t="s">
        <v>1152</v>
      </c>
      <c r="B65" s="117">
        <v>722270001</v>
      </c>
      <c r="C65" s="120" t="s">
        <v>2377</v>
      </c>
      <c r="D65" s="106" t="s">
        <v>26</v>
      </c>
      <c r="E65" s="101">
        <v>1</v>
      </c>
      <c r="F65" s="118"/>
      <c r="G65" s="119">
        <f t="shared" si="0"/>
        <v>0</v>
      </c>
      <c r="H65" s="125">
        <v>2.5999999999999999E-2</v>
      </c>
    </row>
    <row r="66" spans="1:8" ht="26.4" x14ac:dyDescent="0.25">
      <c r="A66" s="419" t="s">
        <v>1157</v>
      </c>
      <c r="B66" s="117" t="s">
        <v>236</v>
      </c>
      <c r="C66" s="120" t="s">
        <v>2378</v>
      </c>
      <c r="D66" s="106" t="s">
        <v>26</v>
      </c>
      <c r="E66" s="101">
        <v>1</v>
      </c>
      <c r="F66" s="118"/>
      <c r="G66" s="119">
        <f t="shared" si="0"/>
        <v>0</v>
      </c>
      <c r="H66" s="125">
        <v>8.0000000000000002E-3</v>
      </c>
    </row>
    <row r="67" spans="1:8" ht="26.4" x14ac:dyDescent="0.25">
      <c r="A67" s="419" t="s">
        <v>1162</v>
      </c>
      <c r="B67" s="117" t="s">
        <v>235</v>
      </c>
      <c r="C67" s="120" t="s">
        <v>2379</v>
      </c>
      <c r="D67" s="106" t="s">
        <v>28</v>
      </c>
      <c r="E67" s="101">
        <v>58.84</v>
      </c>
      <c r="F67" s="118"/>
      <c r="G67" s="119">
        <f t="shared" si="0"/>
        <v>0</v>
      </c>
      <c r="H67" s="125">
        <v>6.0000000000000001E-3</v>
      </c>
    </row>
    <row r="68" spans="1:8" ht="26.4" x14ac:dyDescent="0.25">
      <c r="A68" s="419" t="s">
        <v>1167</v>
      </c>
      <c r="B68" s="117">
        <v>722212221</v>
      </c>
      <c r="C68" s="120" t="s">
        <v>2380</v>
      </c>
      <c r="D68" s="106" t="s">
        <v>26</v>
      </c>
      <c r="E68" s="101">
        <v>1</v>
      </c>
      <c r="F68" s="118"/>
      <c r="G68" s="119">
        <f t="shared" si="0"/>
        <v>0</v>
      </c>
      <c r="H68" s="125">
        <f>0.01283*E68</f>
        <v>1.2829999999999999E-2</v>
      </c>
    </row>
    <row r="69" spans="1:8" ht="26.4" x14ac:dyDescent="0.25">
      <c r="A69" s="419" t="s">
        <v>1172</v>
      </c>
      <c r="B69" s="117" t="s">
        <v>186</v>
      </c>
      <c r="C69" s="120" t="s">
        <v>2381</v>
      </c>
      <c r="D69" s="106" t="s">
        <v>26</v>
      </c>
      <c r="E69" s="101">
        <v>5</v>
      </c>
      <c r="F69" s="118"/>
      <c r="G69" s="119">
        <f t="shared" si="0"/>
        <v>0</v>
      </c>
      <c r="H69" s="125">
        <f>0.0015*E69</f>
        <v>7.4999999999999997E-3</v>
      </c>
    </row>
    <row r="70" spans="1:8" ht="26.4" x14ac:dyDescent="0.25">
      <c r="A70" s="419" t="s">
        <v>1177</v>
      </c>
      <c r="B70" s="117" t="s">
        <v>242</v>
      </c>
      <c r="C70" s="120" t="s">
        <v>2382</v>
      </c>
      <c r="D70" s="106" t="s">
        <v>26</v>
      </c>
      <c r="E70" s="101">
        <v>5</v>
      </c>
      <c r="F70" s="118"/>
      <c r="G70" s="119">
        <f t="shared" si="0"/>
        <v>0</v>
      </c>
      <c r="H70" s="125">
        <f>0.00182</f>
        <v>1.82E-3</v>
      </c>
    </row>
    <row r="71" spans="1:8" ht="39.6" x14ac:dyDescent="0.25">
      <c r="A71" s="419" t="s">
        <v>1183</v>
      </c>
      <c r="B71" s="117" t="s">
        <v>244</v>
      </c>
      <c r="C71" s="120" t="s">
        <v>2383</v>
      </c>
      <c r="D71" s="106" t="s">
        <v>28</v>
      </c>
      <c r="E71" s="101">
        <f>1.26*2+0.96+0.66+0.7+0.845+1.065+1.215+1.365</f>
        <v>9.33</v>
      </c>
      <c r="F71" s="118"/>
      <c r="G71" s="119">
        <f t="shared" si="0"/>
        <v>0</v>
      </c>
      <c r="H71" s="125">
        <f>0.00027*E71</f>
        <v>2.5191000000000002E-3</v>
      </c>
    </row>
    <row r="72" spans="1:8" ht="26.4" x14ac:dyDescent="0.25">
      <c r="A72" s="419" t="s">
        <v>1188</v>
      </c>
      <c r="B72" s="117" t="s">
        <v>244</v>
      </c>
      <c r="C72" s="120" t="s">
        <v>2384</v>
      </c>
      <c r="D72" s="106" t="s">
        <v>28</v>
      </c>
      <c r="E72" s="101">
        <v>39.700000000000003</v>
      </c>
      <c r="F72" s="118"/>
      <c r="G72" s="119">
        <f t="shared" si="0"/>
        <v>0</v>
      </c>
      <c r="H72" s="125">
        <f>0.00027*E72</f>
        <v>1.0719000000000001E-2</v>
      </c>
    </row>
    <row r="73" spans="1:8" ht="26.4" x14ac:dyDescent="0.25">
      <c r="A73" s="419" t="s">
        <v>1193</v>
      </c>
      <c r="B73" s="117" t="s">
        <v>186</v>
      </c>
      <c r="C73" s="120" t="s">
        <v>2385</v>
      </c>
      <c r="D73" s="106" t="s">
        <v>26</v>
      </c>
      <c r="E73" s="101">
        <v>1</v>
      </c>
      <c r="F73" s="118"/>
      <c r="G73" s="119">
        <f t="shared" si="0"/>
        <v>0</v>
      </c>
      <c r="H73" s="125">
        <f>0.06*E73</f>
        <v>0.06</v>
      </c>
    </row>
    <row r="74" spans="1:8" x14ac:dyDescent="0.25">
      <c r="A74" s="419" t="s">
        <v>1198</v>
      </c>
      <c r="B74" s="117" t="s">
        <v>186</v>
      </c>
      <c r="C74" s="120" t="s">
        <v>643</v>
      </c>
      <c r="D74" s="106" t="s">
        <v>26</v>
      </c>
      <c r="E74" s="101">
        <v>1</v>
      </c>
      <c r="F74" s="118"/>
      <c r="G74" s="119">
        <f t="shared" si="0"/>
        <v>0</v>
      </c>
      <c r="H74" s="125">
        <v>0.15</v>
      </c>
    </row>
    <row r="75" spans="1:8" ht="26.4" x14ac:dyDescent="0.25">
      <c r="A75" s="419" t="s">
        <v>1204</v>
      </c>
      <c r="B75" s="117">
        <v>564932111</v>
      </c>
      <c r="C75" s="120" t="s">
        <v>2368</v>
      </c>
      <c r="D75" s="106" t="s">
        <v>15</v>
      </c>
      <c r="E75" s="101">
        <f>1.1*1</f>
        <v>1.1000000000000001</v>
      </c>
      <c r="F75" s="118"/>
      <c r="G75" s="119">
        <f t="shared" ref="G75:G83" si="1">E75*F75</f>
        <v>0</v>
      </c>
      <c r="H75" s="125">
        <f>0.24794*E75</f>
        <v>0.27273400000000003</v>
      </c>
    </row>
    <row r="76" spans="1:8" x14ac:dyDescent="0.25">
      <c r="A76" s="419" t="s">
        <v>1208</v>
      </c>
      <c r="B76" s="117">
        <v>59224656</v>
      </c>
      <c r="C76" s="120" t="s">
        <v>2386</v>
      </c>
      <c r="D76" s="106" t="s">
        <v>26</v>
      </c>
      <c r="E76" s="128">
        <v>1</v>
      </c>
      <c r="F76" s="118"/>
      <c r="G76" s="119">
        <f t="shared" si="1"/>
        <v>0</v>
      </c>
      <c r="H76" s="125">
        <f>2.13*0.2</f>
        <v>0.42599999999999999</v>
      </c>
    </row>
    <row r="77" spans="1:8" x14ac:dyDescent="0.25">
      <c r="A77" s="419" t="s">
        <v>1212</v>
      </c>
      <c r="B77" s="117">
        <v>272362021</v>
      </c>
      <c r="C77" s="120" t="s">
        <v>2387</v>
      </c>
      <c r="D77" s="106" t="s">
        <v>45</v>
      </c>
      <c r="E77" s="129">
        <f>1.1*1*4.5*0.001</f>
        <v>4.9500000000000004E-3</v>
      </c>
      <c r="F77" s="118"/>
      <c r="G77" s="119">
        <f t="shared" si="1"/>
        <v>0</v>
      </c>
      <c r="H77" s="125">
        <v>0.01</v>
      </c>
    </row>
    <row r="78" spans="1:8" ht="26.4" x14ac:dyDescent="0.25">
      <c r="A78" s="419" t="s">
        <v>1216</v>
      </c>
      <c r="B78" s="117" t="s">
        <v>94</v>
      </c>
      <c r="C78" s="120" t="s">
        <v>2388</v>
      </c>
      <c r="D78" s="106" t="s">
        <v>2</v>
      </c>
      <c r="E78" s="101">
        <f>(1+0.1*2+0.9)*2*0.1*1.4</f>
        <v>0.58799999999999997</v>
      </c>
      <c r="F78" s="118"/>
      <c r="G78" s="119">
        <f t="shared" si="1"/>
        <v>0</v>
      </c>
      <c r="H78" s="125">
        <f>2.91415*E78</f>
        <v>1.7135201999999998</v>
      </c>
    </row>
    <row r="79" spans="1:8" ht="52.8" x14ac:dyDescent="0.25">
      <c r="A79" s="419" t="s">
        <v>1221</v>
      </c>
      <c r="B79" s="117" t="s">
        <v>186</v>
      </c>
      <c r="C79" s="120" t="s">
        <v>2479</v>
      </c>
      <c r="D79" s="126" t="s">
        <v>26</v>
      </c>
      <c r="E79" s="127">
        <v>1</v>
      </c>
      <c r="F79" s="118"/>
      <c r="G79" s="119">
        <f t="shared" si="1"/>
        <v>0</v>
      </c>
      <c r="H79" s="125">
        <v>0.08</v>
      </c>
    </row>
    <row r="80" spans="1:8" ht="26.4" x14ac:dyDescent="0.25">
      <c r="A80" s="419" t="s">
        <v>1225</v>
      </c>
      <c r="B80" s="117">
        <v>275321511</v>
      </c>
      <c r="C80" s="120" t="s">
        <v>2389</v>
      </c>
      <c r="D80" s="126" t="s">
        <v>2</v>
      </c>
      <c r="E80" s="127">
        <f>1.5*0.7*0.8</f>
        <v>0.83999999999999986</v>
      </c>
      <c r="F80" s="118"/>
      <c r="G80" s="119">
        <f t="shared" si="1"/>
        <v>0</v>
      </c>
      <c r="H80" s="125">
        <f>2.45329*E80</f>
        <v>2.0607635999999996</v>
      </c>
    </row>
    <row r="81" spans="1:8" ht="20.399999999999999" x14ac:dyDescent="0.25">
      <c r="A81" s="419" t="s">
        <v>1230</v>
      </c>
      <c r="B81" s="117" t="s">
        <v>248</v>
      </c>
      <c r="C81" s="120" t="s">
        <v>2390</v>
      </c>
      <c r="D81" s="126" t="s">
        <v>15</v>
      </c>
      <c r="E81" s="127">
        <f>(1.5+0.7)*2*0.8</f>
        <v>3.5200000000000005</v>
      </c>
      <c r="F81" s="118"/>
      <c r="G81" s="119">
        <f t="shared" si="1"/>
        <v>0</v>
      </c>
      <c r="H81" s="125">
        <f>0.00144*E81</f>
        <v>5.0688000000000009E-3</v>
      </c>
    </row>
    <row r="82" spans="1:8" x14ac:dyDescent="0.25">
      <c r="A82" s="419" t="s">
        <v>1236</v>
      </c>
      <c r="B82" s="117">
        <v>275361821</v>
      </c>
      <c r="C82" s="120" t="s">
        <v>2391</v>
      </c>
      <c r="D82" s="126" t="s">
        <v>45</v>
      </c>
      <c r="E82" s="127">
        <f>0.05*0.84</f>
        <v>4.2000000000000003E-2</v>
      </c>
      <c r="F82" s="118"/>
      <c r="G82" s="119">
        <f t="shared" si="1"/>
        <v>0</v>
      </c>
      <c r="H82" s="125">
        <f>0.04</f>
        <v>0.04</v>
      </c>
    </row>
    <row r="83" spans="1:8" ht="184.8" x14ac:dyDescent="0.25">
      <c r="A83" s="419" t="s">
        <v>1258</v>
      </c>
      <c r="B83" s="117" t="s">
        <v>186</v>
      </c>
      <c r="C83" s="120" t="s">
        <v>2480</v>
      </c>
      <c r="D83" s="126" t="s">
        <v>26</v>
      </c>
      <c r="E83" s="127">
        <v>1</v>
      </c>
      <c r="F83" s="118"/>
      <c r="G83" s="119">
        <f t="shared" si="1"/>
        <v>0</v>
      </c>
      <c r="H83" s="125">
        <v>0</v>
      </c>
    </row>
    <row r="84" spans="1:8" ht="26.4" x14ac:dyDescent="0.25">
      <c r="A84" s="419" t="s">
        <v>1262</v>
      </c>
      <c r="B84" s="117">
        <v>275313811</v>
      </c>
      <c r="C84" s="120" t="s">
        <v>2392</v>
      </c>
      <c r="D84" s="126" t="s">
        <v>2</v>
      </c>
      <c r="E84" s="127">
        <f>0.5*0.5*1</f>
        <v>0.25</v>
      </c>
      <c r="F84" s="118"/>
      <c r="G84" s="119">
        <f>E84*F84</f>
        <v>0</v>
      </c>
      <c r="H84" s="118">
        <f>2.45329*E84</f>
        <v>0.61332249999999999</v>
      </c>
    </row>
    <row r="85" spans="1:8" x14ac:dyDescent="0.25">
      <c r="A85" s="419" t="s">
        <v>1266</v>
      </c>
      <c r="B85" s="117">
        <v>953965133</v>
      </c>
      <c r="C85" s="120" t="s">
        <v>249</v>
      </c>
      <c r="D85" s="126"/>
      <c r="E85" s="127"/>
      <c r="F85" s="118"/>
      <c r="G85" s="119"/>
    </row>
    <row r="86" spans="1:8" ht="20.399999999999999" x14ac:dyDescent="0.25">
      <c r="A86" s="419" t="s">
        <v>1270</v>
      </c>
      <c r="B86" s="117" t="s">
        <v>244</v>
      </c>
      <c r="C86" s="120" t="s">
        <v>2393</v>
      </c>
      <c r="D86" s="106" t="s">
        <v>28</v>
      </c>
      <c r="E86" s="101">
        <f>2.05+1.2</f>
        <v>3.25</v>
      </c>
      <c r="F86" s="118"/>
      <c r="G86" s="119">
        <f t="shared" ref="G86:G92" si="2">E86*F86</f>
        <v>0</v>
      </c>
      <c r="H86" s="125">
        <f>0.00027*E86</f>
        <v>8.7750000000000002E-4</v>
      </c>
    </row>
    <row r="87" spans="1:8" ht="20.399999999999999" x14ac:dyDescent="0.25">
      <c r="A87" s="419" t="s">
        <v>1274</v>
      </c>
      <c r="B87" s="117" t="s">
        <v>244</v>
      </c>
      <c r="C87" s="120" t="s">
        <v>200</v>
      </c>
      <c r="D87" s="106" t="s">
        <v>28</v>
      </c>
      <c r="E87" s="101">
        <f>11.35+1.2</f>
        <v>12.549999999999999</v>
      </c>
      <c r="F87" s="118"/>
      <c r="G87" s="119">
        <f t="shared" si="2"/>
        <v>0</v>
      </c>
      <c r="H87" s="125">
        <f>0.00027*E87</f>
        <v>3.3884999999999996E-3</v>
      </c>
    </row>
    <row r="88" spans="1:8" ht="20.399999999999999" x14ac:dyDescent="0.25">
      <c r="A88" s="419" t="s">
        <v>1278</v>
      </c>
      <c r="B88" s="117" t="s">
        <v>244</v>
      </c>
      <c r="C88" s="120" t="s">
        <v>201</v>
      </c>
      <c r="D88" s="106" t="s">
        <v>28</v>
      </c>
      <c r="E88" s="101">
        <v>30.5</v>
      </c>
      <c r="F88" s="118"/>
      <c r="G88" s="119">
        <f t="shared" si="2"/>
        <v>0</v>
      </c>
      <c r="H88" s="125">
        <f>0.00027*E88</f>
        <v>8.2349999999999993E-3</v>
      </c>
    </row>
    <row r="89" spans="1:8" x14ac:dyDescent="0.25">
      <c r="A89" s="419" t="s">
        <v>1288</v>
      </c>
      <c r="B89" s="117" t="s">
        <v>250</v>
      </c>
      <c r="C89" s="120" t="s">
        <v>202</v>
      </c>
      <c r="D89" s="106" t="s">
        <v>26</v>
      </c>
      <c r="E89" s="101">
        <v>1</v>
      </c>
      <c r="F89" s="118"/>
      <c r="G89" s="119">
        <f t="shared" si="2"/>
        <v>0</v>
      </c>
      <c r="H89" s="125">
        <f>0.00047*E89</f>
        <v>4.6999999999999999E-4</v>
      </c>
    </row>
    <row r="90" spans="1:8" ht="52.8" x14ac:dyDescent="0.25">
      <c r="A90" s="419" t="s">
        <v>1292</v>
      </c>
      <c r="B90" s="117" t="s">
        <v>186</v>
      </c>
      <c r="C90" s="120" t="s">
        <v>255</v>
      </c>
      <c r="D90" s="106" t="s">
        <v>26</v>
      </c>
      <c r="E90" s="101">
        <v>1</v>
      </c>
      <c r="F90" s="118"/>
      <c r="G90" s="119">
        <f t="shared" si="2"/>
        <v>0</v>
      </c>
      <c r="H90" s="125">
        <f>0.00027*E90</f>
        <v>2.7E-4</v>
      </c>
    </row>
    <row r="91" spans="1:8" ht="39.6" x14ac:dyDescent="0.25">
      <c r="A91" s="419" t="s">
        <v>1298</v>
      </c>
      <c r="B91" s="117" t="s">
        <v>251</v>
      </c>
      <c r="C91" s="120" t="s">
        <v>203</v>
      </c>
      <c r="D91" s="106" t="s">
        <v>26</v>
      </c>
      <c r="E91" s="101">
        <v>1</v>
      </c>
      <c r="F91" s="118"/>
      <c r="G91" s="119">
        <f t="shared" si="2"/>
        <v>0</v>
      </c>
      <c r="H91" s="125">
        <f>0.00027*E91</f>
        <v>2.7E-4</v>
      </c>
    </row>
    <row r="92" spans="1:8" x14ac:dyDescent="0.25">
      <c r="A92" s="419" t="s">
        <v>1302</v>
      </c>
      <c r="B92" s="117"/>
      <c r="C92" s="120" t="s">
        <v>204</v>
      </c>
      <c r="D92" s="106" t="s">
        <v>26</v>
      </c>
      <c r="E92" s="101">
        <v>1</v>
      </c>
      <c r="F92" s="118"/>
      <c r="G92" s="119">
        <f t="shared" si="2"/>
        <v>0</v>
      </c>
      <c r="H92" s="125">
        <v>0</v>
      </c>
    </row>
    <row r="93" spans="1:8" x14ac:dyDescent="0.25">
      <c r="A93" s="419" t="s">
        <v>1307</v>
      </c>
      <c r="B93" s="925"/>
      <c r="C93" s="927" t="s">
        <v>120</v>
      </c>
      <c r="D93" s="928"/>
      <c r="E93" s="929"/>
      <c r="F93" s="930"/>
      <c r="G93" s="931"/>
      <c r="H93" s="932"/>
    </row>
    <row r="94" spans="1:8" x14ac:dyDescent="0.25">
      <c r="A94" s="419" t="s">
        <v>1313</v>
      </c>
      <c r="B94" s="117"/>
      <c r="C94" s="431" t="s">
        <v>2473</v>
      </c>
      <c r="E94" s="101"/>
      <c r="F94" s="118"/>
      <c r="G94" s="119"/>
    </row>
    <row r="95" spans="1:8" ht="39.6" x14ac:dyDescent="0.25">
      <c r="A95" s="419" t="s">
        <v>1318</v>
      </c>
      <c r="B95" s="117">
        <v>132251253</v>
      </c>
      <c r="C95" s="120" t="s">
        <v>256</v>
      </c>
      <c r="D95" s="106" t="s">
        <v>2</v>
      </c>
      <c r="E95" s="101">
        <v>2.16</v>
      </c>
      <c r="F95" s="118"/>
      <c r="G95" s="115">
        <f>F95*E95</f>
        <v>0</v>
      </c>
    </row>
    <row r="96" spans="1:8" ht="26.4" x14ac:dyDescent="0.25">
      <c r="A96" s="419" t="s">
        <v>1323</v>
      </c>
      <c r="B96" s="117"/>
      <c r="C96" s="435" t="s">
        <v>257</v>
      </c>
      <c r="E96" s="101"/>
      <c r="F96" s="118"/>
    </row>
    <row r="97" spans="1:8" ht="26.4" x14ac:dyDescent="0.25">
      <c r="A97" s="419" t="s">
        <v>1329</v>
      </c>
      <c r="B97" s="117">
        <v>132254104</v>
      </c>
      <c r="C97" s="120" t="s">
        <v>259</v>
      </c>
      <c r="D97" s="106" t="s">
        <v>2</v>
      </c>
      <c r="E97" s="101">
        <f>E98+E99</f>
        <v>112.10480000000001</v>
      </c>
      <c r="F97" s="118"/>
      <c r="G97" s="115">
        <f>F97*E97</f>
        <v>0</v>
      </c>
    </row>
    <row r="98" spans="1:8" ht="39.6" x14ac:dyDescent="0.25">
      <c r="A98" s="419" t="s">
        <v>1333</v>
      </c>
      <c r="B98" s="117"/>
      <c r="C98" s="435" t="s">
        <v>258</v>
      </c>
      <c r="D98" s="130" t="s">
        <v>2</v>
      </c>
      <c r="E98" s="131">
        <f>(8.03-0.9)*0.8*1.8 +(58.84-10.14) *0.8* 1.71</f>
        <v>76.888800000000018</v>
      </c>
      <c r="F98" s="118"/>
    </row>
    <row r="99" spans="1:8" ht="79.2" x14ac:dyDescent="0.25">
      <c r="A99" s="419" t="s">
        <v>696</v>
      </c>
      <c r="B99" s="117"/>
      <c r="C99" s="435" t="s">
        <v>270</v>
      </c>
      <c r="D99" s="130" t="s">
        <v>205</v>
      </c>
      <c r="E99" s="131">
        <f>(10.14) *0.8* 0.5+(36.5+2.05+11.35+28)*0.8*0.5</f>
        <v>35.216000000000001</v>
      </c>
      <c r="F99" s="118"/>
      <c r="G99" s="119"/>
    </row>
    <row r="100" spans="1:8" ht="26.4" x14ac:dyDescent="0.25">
      <c r="A100" s="419" t="s">
        <v>1348</v>
      </c>
      <c r="B100" s="132">
        <v>162751137</v>
      </c>
      <c r="C100" s="133" t="s">
        <v>596</v>
      </c>
      <c r="D100" s="95" t="s">
        <v>2</v>
      </c>
      <c r="E100" s="98">
        <f>E95+E97</f>
        <v>114.26480000000001</v>
      </c>
      <c r="F100" s="97"/>
      <c r="G100" s="134">
        <f>E100*F100</f>
        <v>0</v>
      </c>
    </row>
    <row r="101" spans="1:8" ht="52.8" x14ac:dyDescent="0.25">
      <c r="A101" s="419" t="s">
        <v>1353</v>
      </c>
      <c r="B101" s="117">
        <v>162751139</v>
      </c>
      <c r="C101" s="133" t="s">
        <v>2617</v>
      </c>
      <c r="D101" s="95" t="s">
        <v>2</v>
      </c>
      <c r="E101" s="98">
        <f>E100</f>
        <v>114.26480000000001</v>
      </c>
      <c r="F101" s="97"/>
      <c r="G101" s="134">
        <f>E101*F101</f>
        <v>0</v>
      </c>
    </row>
    <row r="102" spans="1:8" x14ac:dyDescent="0.25">
      <c r="A102" s="419" t="s">
        <v>1358</v>
      </c>
      <c r="B102" s="117"/>
      <c r="C102" s="435" t="s">
        <v>2478</v>
      </c>
      <c r="E102" s="135"/>
      <c r="F102" s="118"/>
      <c r="G102" s="119"/>
    </row>
    <row r="103" spans="1:8" ht="39.6" x14ac:dyDescent="0.25">
      <c r="A103" s="419" t="s">
        <v>1363</v>
      </c>
      <c r="B103" s="148">
        <v>113106071</v>
      </c>
      <c r="C103" s="133" t="s">
        <v>658</v>
      </c>
      <c r="D103" s="13" t="s">
        <v>15</v>
      </c>
      <c r="E103" s="26">
        <f>(7.25+17.15+19.8)*0.8</f>
        <v>35.360000000000007</v>
      </c>
      <c r="F103" s="114"/>
      <c r="G103" s="98">
        <f t="shared" ref="G103:G109" si="3">E103*F103</f>
        <v>0</v>
      </c>
      <c r="H103" s="628">
        <f>0.26*E103</f>
        <v>9.1936000000000018</v>
      </c>
    </row>
    <row r="104" spans="1:8" ht="20.399999999999999" x14ac:dyDescent="0.25">
      <c r="A104" s="419" t="s">
        <v>1367</v>
      </c>
      <c r="B104" s="136" t="s">
        <v>139</v>
      </c>
      <c r="C104" s="21" t="s">
        <v>602</v>
      </c>
      <c r="D104" s="95" t="s">
        <v>15</v>
      </c>
      <c r="E104" s="32">
        <f>E103</f>
        <v>35.360000000000007</v>
      </c>
      <c r="F104" s="96"/>
      <c r="G104" s="98">
        <f t="shared" si="3"/>
        <v>0</v>
      </c>
      <c r="H104" s="628">
        <v>0</v>
      </c>
    </row>
    <row r="105" spans="1:8" ht="26.4" x14ac:dyDescent="0.25">
      <c r="A105" s="419" t="s">
        <v>1375</v>
      </c>
      <c r="B105" s="136">
        <v>997221571</v>
      </c>
      <c r="C105" s="133" t="s">
        <v>659</v>
      </c>
      <c r="D105" s="95" t="s">
        <v>45</v>
      </c>
      <c r="E105" s="22">
        <f>E103*0.08*1.5*2</f>
        <v>8.4864000000000015</v>
      </c>
      <c r="F105" s="96"/>
      <c r="G105" s="98">
        <f t="shared" si="3"/>
        <v>0</v>
      </c>
      <c r="H105" s="628">
        <f>0*E105</f>
        <v>0</v>
      </c>
    </row>
    <row r="106" spans="1:8" ht="39.6" x14ac:dyDescent="0.25">
      <c r="A106" s="419" t="s">
        <v>1381</v>
      </c>
      <c r="B106" s="30">
        <v>113107125</v>
      </c>
      <c r="C106" s="133" t="s">
        <v>660</v>
      </c>
      <c r="D106" s="95" t="s">
        <v>15</v>
      </c>
      <c r="E106" s="26">
        <f>E103</f>
        <v>35.360000000000007</v>
      </c>
      <c r="F106" s="32"/>
      <c r="G106" s="98">
        <f t="shared" si="3"/>
        <v>0</v>
      </c>
      <c r="H106" s="499">
        <f>0.75*E106</f>
        <v>26.520000000000003</v>
      </c>
    </row>
    <row r="107" spans="1:8" ht="26.4" x14ac:dyDescent="0.25">
      <c r="A107" s="419" t="s">
        <v>1386</v>
      </c>
      <c r="B107" s="30">
        <v>596212210</v>
      </c>
      <c r="C107" s="133" t="s">
        <v>2475</v>
      </c>
      <c r="D107" s="95" t="s">
        <v>15</v>
      </c>
      <c r="E107" s="26">
        <v>9</v>
      </c>
      <c r="F107" s="32"/>
      <c r="G107" s="98">
        <f t="shared" si="3"/>
        <v>0</v>
      </c>
      <c r="H107" s="499">
        <f>0.10362*E107</f>
        <v>0.93258000000000008</v>
      </c>
    </row>
    <row r="108" spans="1:8" x14ac:dyDescent="0.25">
      <c r="A108" s="419" t="s">
        <v>1391</v>
      </c>
      <c r="B108" s="30">
        <v>567122114</v>
      </c>
      <c r="C108" s="133" t="s">
        <v>2476</v>
      </c>
      <c r="D108" s="95" t="s">
        <v>15</v>
      </c>
      <c r="E108" s="26">
        <f>E107</f>
        <v>9</v>
      </c>
      <c r="F108" s="32"/>
      <c r="G108" s="98">
        <f t="shared" si="3"/>
        <v>0</v>
      </c>
      <c r="H108" s="499">
        <f>0.38314*E108</f>
        <v>3.4482599999999999</v>
      </c>
    </row>
    <row r="109" spans="1:8" ht="26.4" x14ac:dyDescent="0.25">
      <c r="A109" s="419" t="s">
        <v>1399</v>
      </c>
      <c r="B109" s="30">
        <v>564861111</v>
      </c>
      <c r="C109" s="133" t="s">
        <v>2477</v>
      </c>
      <c r="D109" s="95" t="s">
        <v>15</v>
      </c>
      <c r="E109" s="26">
        <v>9</v>
      </c>
      <c r="F109" s="32"/>
      <c r="G109" s="98">
        <f t="shared" si="3"/>
        <v>0</v>
      </c>
      <c r="H109" s="499">
        <f>0.46*E109</f>
        <v>4.1400000000000006</v>
      </c>
    </row>
    <row r="110" spans="1:8" ht="39.6" x14ac:dyDescent="0.25">
      <c r="A110" s="419" t="s">
        <v>1404</v>
      </c>
      <c r="B110" s="138">
        <v>113201112</v>
      </c>
      <c r="C110" s="133" t="s">
        <v>654</v>
      </c>
      <c r="D110" s="95" t="s">
        <v>140</v>
      </c>
      <c r="E110" s="28">
        <f>(2+4+2+1*2+2)</f>
        <v>12</v>
      </c>
      <c r="F110" s="96"/>
      <c r="G110" s="93">
        <f>E110*F110</f>
        <v>0</v>
      </c>
      <c r="H110" s="96">
        <f>0.23*E110</f>
        <v>2.7600000000000002</v>
      </c>
    </row>
    <row r="111" spans="1:8" x14ac:dyDescent="0.25">
      <c r="A111" s="419" t="s">
        <v>1409</v>
      </c>
      <c r="B111" s="138">
        <v>460912211</v>
      </c>
      <c r="C111" s="21" t="s">
        <v>652</v>
      </c>
      <c r="D111" s="95" t="s">
        <v>28</v>
      </c>
      <c r="E111" s="98">
        <f>E110</f>
        <v>12</v>
      </c>
      <c r="F111" s="96"/>
      <c r="G111" s="93">
        <f>E111*F111</f>
        <v>0</v>
      </c>
      <c r="H111" s="96">
        <f>0*E111</f>
        <v>0</v>
      </c>
    </row>
    <row r="112" spans="1:8" ht="26.4" x14ac:dyDescent="0.25">
      <c r="A112" s="419" t="s">
        <v>1414</v>
      </c>
      <c r="B112" s="138">
        <v>997221571</v>
      </c>
      <c r="C112" s="133" t="s">
        <v>653</v>
      </c>
      <c r="D112" s="95" t="s">
        <v>45</v>
      </c>
      <c r="E112" s="98">
        <f>H110</f>
        <v>2.7600000000000002</v>
      </c>
      <c r="F112" s="96"/>
      <c r="G112" s="93">
        <f>E112*F112</f>
        <v>0</v>
      </c>
      <c r="H112" s="96">
        <v>0</v>
      </c>
    </row>
    <row r="113" spans="1:8" ht="26.4" x14ac:dyDescent="0.25">
      <c r="A113" s="419" t="s">
        <v>1419</v>
      </c>
      <c r="B113" s="117">
        <v>916131213</v>
      </c>
      <c r="C113" s="120" t="s">
        <v>2394</v>
      </c>
      <c r="D113" s="106" t="s">
        <v>28</v>
      </c>
      <c r="E113" s="101">
        <f>E110</f>
        <v>12</v>
      </c>
      <c r="F113" s="118"/>
      <c r="G113" s="93">
        <f>E113*F113</f>
        <v>0</v>
      </c>
      <c r="H113" s="125">
        <f>0.1554*E113</f>
        <v>1.8648000000000002</v>
      </c>
    </row>
    <row r="114" spans="1:8" ht="26.4" x14ac:dyDescent="0.25">
      <c r="A114" s="419" t="s">
        <v>1424</v>
      </c>
      <c r="B114" s="117">
        <v>133254101</v>
      </c>
      <c r="C114" s="435" t="s">
        <v>261</v>
      </c>
      <c r="D114" s="106" t="s">
        <v>2</v>
      </c>
      <c r="E114" s="101">
        <f>(1.625+0.7*2)*(1.325+0.7*2)*2</f>
        <v>16.486249999999998</v>
      </c>
      <c r="F114" s="118"/>
      <c r="G114" s="119">
        <f>E114*F114</f>
        <v>0</v>
      </c>
    </row>
    <row r="115" spans="1:8" x14ac:dyDescent="0.25">
      <c r="A115" s="419" t="s">
        <v>1433</v>
      </c>
      <c r="B115" s="117"/>
      <c r="C115" s="435" t="s">
        <v>260</v>
      </c>
      <c r="E115" s="101"/>
      <c r="F115" s="118"/>
      <c r="G115" s="119"/>
    </row>
    <row r="116" spans="1:8" ht="26.4" x14ac:dyDescent="0.25">
      <c r="A116" s="419" t="s">
        <v>1438</v>
      </c>
      <c r="B116" s="139" t="s">
        <v>273</v>
      </c>
      <c r="C116" s="435" t="s">
        <v>272</v>
      </c>
      <c r="D116" s="106" t="s">
        <v>15</v>
      </c>
      <c r="E116" s="101">
        <f>((1.625+0.7*2)+(1.325+0.7*2))*2*2</f>
        <v>23</v>
      </c>
      <c r="F116" s="118"/>
      <c r="G116" s="119">
        <f>E116*F116</f>
        <v>0</v>
      </c>
      <c r="H116" s="125">
        <f>0.007*E116</f>
        <v>0.161</v>
      </c>
    </row>
    <row r="117" spans="1:8" ht="20.399999999999999" x14ac:dyDescent="0.25">
      <c r="A117" s="419" t="s">
        <v>1443</v>
      </c>
      <c r="B117" s="139" t="s">
        <v>274</v>
      </c>
      <c r="C117" s="435" t="s">
        <v>650</v>
      </c>
      <c r="D117" s="106" t="s">
        <v>15</v>
      </c>
      <c r="E117" s="101">
        <f>((1.625+0.7*2)+(1.325+0.7*2))*2*2</f>
        <v>23</v>
      </c>
      <c r="F117" s="118"/>
      <c r="G117" s="119">
        <f>E117*F117</f>
        <v>0</v>
      </c>
      <c r="H117" s="125">
        <f>0.007*E117</f>
        <v>0.161</v>
      </c>
    </row>
    <row r="118" spans="1:8" ht="20.399999999999999" x14ac:dyDescent="0.25">
      <c r="A118" s="419" t="s">
        <v>1448</v>
      </c>
      <c r="B118" s="139" t="s">
        <v>275</v>
      </c>
      <c r="C118" s="435" t="s">
        <v>2474</v>
      </c>
      <c r="D118" s="106" t="s">
        <v>28</v>
      </c>
      <c r="E118" s="101">
        <v>5</v>
      </c>
      <c r="F118" s="118"/>
      <c r="G118" s="119">
        <f>E118*F118</f>
        <v>0</v>
      </c>
      <c r="H118" s="125">
        <f>0.007*E118</f>
        <v>3.5000000000000003E-2</v>
      </c>
    </row>
    <row r="119" spans="1:8" x14ac:dyDescent="0.25">
      <c r="A119" s="419" t="s">
        <v>1453</v>
      </c>
      <c r="B119" s="140" t="s">
        <v>276</v>
      </c>
      <c r="C119" s="434" t="s">
        <v>277</v>
      </c>
      <c r="D119" s="141" t="s">
        <v>15</v>
      </c>
      <c r="E119" s="101">
        <f>(10.14) *0.8+(36.5+2.05+11.35+28)*0.8</f>
        <v>70.432000000000002</v>
      </c>
      <c r="G119" s="119">
        <f>E119*F119</f>
        <v>0</v>
      </c>
    </row>
    <row r="120" spans="1:8" ht="26.4" x14ac:dyDescent="0.25">
      <c r="A120" s="419" t="s">
        <v>1458</v>
      </c>
      <c r="B120" s="140" t="s">
        <v>268</v>
      </c>
      <c r="C120" s="434" t="s">
        <v>271</v>
      </c>
      <c r="D120" s="141" t="s">
        <v>15</v>
      </c>
      <c r="E120" s="101">
        <f>1.2*1.8*2+ (8.03-0.9) *1.8*2+(58.84-10.14) * 1.71*2+(1+0.8)*1.8</f>
        <v>199.78200000000001</v>
      </c>
      <c r="G120" s="115">
        <f>F120*E120</f>
        <v>0</v>
      </c>
    </row>
    <row r="121" spans="1:8" ht="39.6" x14ac:dyDescent="0.25">
      <c r="A121" s="419" t="s">
        <v>1463</v>
      </c>
      <c r="B121" s="117"/>
      <c r="C121" s="435" t="s">
        <v>206</v>
      </c>
      <c r="E121" s="101"/>
      <c r="F121" s="118"/>
      <c r="G121" s="119"/>
    </row>
    <row r="122" spans="1:8" x14ac:dyDescent="0.25">
      <c r="A122" s="419" t="s">
        <v>1470</v>
      </c>
      <c r="B122" s="140" t="s">
        <v>207</v>
      </c>
      <c r="C122" s="434" t="s">
        <v>208</v>
      </c>
      <c r="D122" s="141" t="s">
        <v>15</v>
      </c>
      <c r="E122" s="101">
        <f>E120</f>
        <v>199.78200000000001</v>
      </c>
      <c r="G122" s="115">
        <f>F122*E122</f>
        <v>0</v>
      </c>
    </row>
    <row r="123" spans="1:8" ht="26.4" x14ac:dyDescent="0.25">
      <c r="A123" s="419" t="s">
        <v>1476</v>
      </c>
      <c r="B123" s="140" t="s">
        <v>252</v>
      </c>
      <c r="C123" s="435" t="s">
        <v>253</v>
      </c>
      <c r="D123" s="141" t="s">
        <v>2</v>
      </c>
      <c r="E123" s="149">
        <f>E124+E125</f>
        <v>17.444400000000002</v>
      </c>
      <c r="G123" s="115">
        <f>E123*F123</f>
        <v>0</v>
      </c>
      <c r="H123" s="125">
        <f>1.89077*E123</f>
        <v>32.983348188000001</v>
      </c>
    </row>
    <row r="124" spans="1:8" ht="52.8" x14ac:dyDescent="0.25">
      <c r="A124" s="419" t="s">
        <v>1480</v>
      </c>
      <c r="B124" s="117"/>
      <c r="C124" s="435" t="s">
        <v>209</v>
      </c>
      <c r="D124" s="106" t="s">
        <v>2</v>
      </c>
      <c r="E124" s="135">
        <f>1.2*1*0.15+ (8.03-0.9)*0.8*0.15+(58.84-10.14) *0.8* 0.15</f>
        <v>6.8796000000000008</v>
      </c>
      <c r="F124" s="118"/>
      <c r="G124" s="119"/>
    </row>
    <row r="125" spans="1:8" ht="52.8" x14ac:dyDescent="0.25">
      <c r="A125" s="419" t="s">
        <v>1485</v>
      </c>
      <c r="B125" s="117"/>
      <c r="C125" s="435" t="s">
        <v>210</v>
      </c>
      <c r="D125" s="106" t="s">
        <v>205</v>
      </c>
      <c r="E125" s="135">
        <f>(10.14) *0.8* 0.15+(36.5+2.05+11.35+28)*0.8*0.15</f>
        <v>10.5648</v>
      </c>
      <c r="F125" s="118"/>
      <c r="G125" s="119"/>
    </row>
    <row r="126" spans="1:8" ht="26.4" x14ac:dyDescent="0.25">
      <c r="A126" s="419" t="s">
        <v>1489</v>
      </c>
      <c r="B126" s="140" t="s">
        <v>252</v>
      </c>
      <c r="C126" s="434" t="s">
        <v>254</v>
      </c>
      <c r="D126" s="141" t="s">
        <v>2</v>
      </c>
      <c r="E126" s="101">
        <f>SUM(E128)+E129</f>
        <v>40.703600000000009</v>
      </c>
      <c r="G126" s="115">
        <f>F126*E126</f>
        <v>0</v>
      </c>
      <c r="H126" s="125">
        <f>1.89077*E126</f>
        <v>76.961145772000023</v>
      </c>
    </row>
    <row r="127" spans="1:8" x14ac:dyDescent="0.25">
      <c r="A127" s="419" t="s">
        <v>1494</v>
      </c>
      <c r="B127" s="140"/>
      <c r="C127" s="436" t="s">
        <v>211</v>
      </c>
      <c r="D127" s="142"/>
      <c r="E127" s="143"/>
    </row>
    <row r="128" spans="1:8" ht="52.8" x14ac:dyDescent="0.25">
      <c r="A128" s="419" t="s">
        <v>1498</v>
      </c>
      <c r="B128" s="117"/>
      <c r="C128" s="435" t="s">
        <v>240</v>
      </c>
      <c r="D128" s="130" t="s">
        <v>2</v>
      </c>
      <c r="E128" s="144">
        <f>1.2*1*0.35+(8.03-0.9)*0.8*0.35+(58.84-10.14) *0.8*0.35</f>
        <v>16.052400000000002</v>
      </c>
      <c r="F128" s="118"/>
      <c r="G128" s="119"/>
    </row>
    <row r="129" spans="1:8" ht="34.200000000000003" x14ac:dyDescent="0.25">
      <c r="A129" s="419" t="s">
        <v>1505</v>
      </c>
      <c r="B129" s="117"/>
      <c r="C129" s="447" t="s">
        <v>241</v>
      </c>
      <c r="D129" s="130" t="s">
        <v>2</v>
      </c>
      <c r="E129" s="144">
        <f>(10.14)*0.8*0.35+(36.5+2.05+11.35+28)*0.8*0.35</f>
        <v>24.651200000000003</v>
      </c>
      <c r="F129" s="118"/>
      <c r="G129" s="119"/>
    </row>
    <row r="130" spans="1:8" x14ac:dyDescent="0.25">
      <c r="A130" s="419" t="s">
        <v>1509</v>
      </c>
      <c r="B130" s="140" t="s">
        <v>266</v>
      </c>
      <c r="C130" s="434" t="s">
        <v>267</v>
      </c>
      <c r="D130" s="141" t="s">
        <v>2</v>
      </c>
      <c r="E130" s="101">
        <v>52.74</v>
      </c>
      <c r="G130" s="115">
        <f>F130*E130</f>
        <v>0</v>
      </c>
    </row>
    <row r="131" spans="1:8" ht="52.8" x14ac:dyDescent="0.25">
      <c r="A131" s="419" t="s">
        <v>1512</v>
      </c>
      <c r="B131" s="117"/>
      <c r="C131" s="435" t="s">
        <v>212</v>
      </c>
      <c r="E131" s="101"/>
      <c r="F131" s="118"/>
      <c r="G131" s="119"/>
    </row>
    <row r="132" spans="1:8" ht="13.8" x14ac:dyDescent="0.25">
      <c r="A132" s="419" t="s">
        <v>1515</v>
      </c>
      <c r="B132" s="140" t="s">
        <v>239</v>
      </c>
      <c r="C132" s="435" t="s">
        <v>213</v>
      </c>
      <c r="D132" s="141" t="s">
        <v>45</v>
      </c>
      <c r="E132" s="149">
        <f>52.74*2.054</f>
        <v>108.32795999999999</v>
      </c>
      <c r="G132" s="115">
        <f>E132*F132</f>
        <v>0</v>
      </c>
      <c r="H132" s="125">
        <f>1*E132</f>
        <v>108.32795999999999</v>
      </c>
    </row>
    <row r="133" spans="1:8" ht="26.4" x14ac:dyDescent="0.25">
      <c r="A133" s="419" t="s">
        <v>1518</v>
      </c>
      <c r="B133" s="140"/>
      <c r="C133" s="436" t="s">
        <v>214</v>
      </c>
      <c r="D133" s="142"/>
      <c r="E133" s="143"/>
    </row>
    <row r="134" spans="1:8" x14ac:dyDescent="0.25">
      <c r="A134" s="419" t="s">
        <v>1532</v>
      </c>
      <c r="B134" s="117"/>
      <c r="C134" s="435" t="s">
        <v>215</v>
      </c>
      <c r="E134" s="101"/>
      <c r="F134" s="118"/>
      <c r="G134" s="119"/>
    </row>
    <row r="135" spans="1:8" s="933" customFormat="1" x14ac:dyDescent="0.25">
      <c r="A135" s="419" t="s">
        <v>1537</v>
      </c>
      <c r="B135" s="934"/>
      <c r="C135" s="940" t="s">
        <v>216</v>
      </c>
      <c r="D135" s="935"/>
      <c r="E135" s="936"/>
      <c r="F135" s="937"/>
      <c r="G135" s="938"/>
      <c r="H135" s="939"/>
    </row>
    <row r="136" spans="1:8" x14ac:dyDescent="0.25">
      <c r="A136" s="419" t="s">
        <v>1543</v>
      </c>
      <c r="B136" s="150">
        <v>171203111</v>
      </c>
      <c r="C136" s="437" t="s">
        <v>217</v>
      </c>
      <c r="D136" s="151" t="s">
        <v>2</v>
      </c>
      <c r="E136" s="101">
        <v>6.88</v>
      </c>
      <c r="F136" s="764"/>
      <c r="G136" s="115">
        <f t="shared" ref="G136:G141" si="4">E136*F136</f>
        <v>0</v>
      </c>
    </row>
    <row r="137" spans="1:8" x14ac:dyDescent="0.25">
      <c r="A137" s="419" t="s">
        <v>1548</v>
      </c>
      <c r="B137" s="152">
        <v>10364101</v>
      </c>
      <c r="C137" s="437" t="s">
        <v>238</v>
      </c>
      <c r="D137" s="151" t="s">
        <v>45</v>
      </c>
      <c r="E137" s="101">
        <f>6.88*1.76</f>
        <v>12.1088</v>
      </c>
      <c r="F137" s="764"/>
      <c r="G137" s="115">
        <f t="shared" si="4"/>
        <v>0</v>
      </c>
    </row>
    <row r="138" spans="1:8" x14ac:dyDescent="0.25">
      <c r="A138" s="419" t="s">
        <v>1553</v>
      </c>
      <c r="B138" s="152">
        <v>181111111</v>
      </c>
      <c r="C138" s="437" t="s">
        <v>218</v>
      </c>
      <c r="D138" s="151" t="s">
        <v>15</v>
      </c>
      <c r="E138" s="101">
        <f>1.2*1+ (8.03-0.9)*0.8+(58.84-10.14) *0.8</f>
        <v>45.864000000000004</v>
      </c>
      <c r="F138" s="764"/>
      <c r="G138" s="115">
        <f t="shared" si="4"/>
        <v>0</v>
      </c>
    </row>
    <row r="139" spans="1:8" x14ac:dyDescent="0.25">
      <c r="A139" s="419" t="s">
        <v>1558</v>
      </c>
      <c r="B139" s="152">
        <v>181411162</v>
      </c>
      <c r="C139" s="437" t="s">
        <v>219</v>
      </c>
      <c r="D139" s="151" t="s">
        <v>15</v>
      </c>
      <c r="E139" s="101">
        <f>E138</f>
        <v>45.864000000000004</v>
      </c>
      <c r="F139" s="764"/>
      <c r="G139" s="115">
        <f t="shared" si="4"/>
        <v>0</v>
      </c>
    </row>
    <row r="140" spans="1:8" x14ac:dyDescent="0.25">
      <c r="A140" s="419" t="s">
        <v>1563</v>
      </c>
      <c r="B140" s="153" t="s">
        <v>237</v>
      </c>
      <c r="C140" s="437" t="s">
        <v>220</v>
      </c>
      <c r="D140" s="151" t="s">
        <v>51</v>
      </c>
      <c r="E140" s="101">
        <f>E139*20</f>
        <v>917.28000000000009</v>
      </c>
      <c r="F140" s="764"/>
      <c r="G140" s="115">
        <f t="shared" si="4"/>
        <v>0</v>
      </c>
    </row>
    <row r="141" spans="1:8" x14ac:dyDescent="0.25">
      <c r="A141" s="419" t="s">
        <v>1568</v>
      </c>
      <c r="B141" s="154">
        <v>185804312</v>
      </c>
      <c r="C141" s="437" t="s">
        <v>221</v>
      </c>
      <c r="D141" s="151" t="s">
        <v>2</v>
      </c>
      <c r="E141" s="101">
        <f>E139*20*0.001</f>
        <v>0.9172800000000001</v>
      </c>
      <c r="F141" s="764"/>
      <c r="G141" s="115">
        <f t="shared" si="4"/>
        <v>0</v>
      </c>
    </row>
    <row r="142" spans="1:8" ht="26.4" x14ac:dyDescent="0.25">
      <c r="A142" s="419" t="s">
        <v>1574</v>
      </c>
      <c r="B142" s="117" t="s">
        <v>186</v>
      </c>
      <c r="C142" s="120" t="s">
        <v>222</v>
      </c>
      <c r="D142" s="106" t="s">
        <v>26</v>
      </c>
      <c r="E142" s="101">
        <v>10</v>
      </c>
      <c r="F142" s="118"/>
      <c r="G142" s="115">
        <f>E142*F142</f>
        <v>0</v>
      </c>
    </row>
    <row r="143" spans="1:8" x14ac:dyDescent="0.25">
      <c r="A143" s="419" t="s">
        <v>1582</v>
      </c>
      <c r="B143" s="117">
        <v>899721111</v>
      </c>
      <c r="C143" s="120" t="s">
        <v>262</v>
      </c>
      <c r="D143" s="106" t="s">
        <v>28</v>
      </c>
      <c r="E143" s="101">
        <v>150.47</v>
      </c>
      <c r="F143" s="118"/>
      <c r="G143" s="119">
        <f>E143*F143</f>
        <v>0</v>
      </c>
      <c r="H143" s="125">
        <f>0.00019*E143</f>
        <v>2.8589300000000002E-2</v>
      </c>
    </row>
    <row r="144" spans="1:8" ht="26.4" x14ac:dyDescent="0.25">
      <c r="A144" s="419" t="s">
        <v>1587</v>
      </c>
      <c r="B144" s="117"/>
      <c r="C144" s="120" t="s">
        <v>651</v>
      </c>
      <c r="E144" s="101"/>
      <c r="F144" s="118"/>
      <c r="G144" s="119"/>
    </row>
    <row r="145" spans="1:8" x14ac:dyDescent="0.25">
      <c r="A145" s="419" t="s">
        <v>1592</v>
      </c>
      <c r="B145" s="117">
        <v>899722114</v>
      </c>
      <c r="C145" s="109" t="s">
        <v>263</v>
      </c>
      <c r="D145" s="106" t="s">
        <v>28</v>
      </c>
      <c r="E145" s="106">
        <f>8.03+58.84+39.7+2.05+11.35+30.5</f>
        <v>150.47</v>
      </c>
      <c r="F145" s="118"/>
      <c r="G145" s="115">
        <f>E145*F145</f>
        <v>0</v>
      </c>
      <c r="H145" s="125">
        <f>0.00013*E145</f>
        <v>1.9561099999999998E-2</v>
      </c>
    </row>
    <row r="146" spans="1:8" ht="22.8" x14ac:dyDescent="0.25">
      <c r="A146" s="419" t="s">
        <v>1598</v>
      </c>
      <c r="C146" s="109" t="s">
        <v>223</v>
      </c>
    </row>
    <row r="147" spans="1:8" x14ac:dyDescent="0.25">
      <c r="A147" s="419" t="s">
        <v>1603</v>
      </c>
      <c r="B147" s="105">
        <v>998223011</v>
      </c>
      <c r="C147" s="116" t="s">
        <v>661</v>
      </c>
      <c r="D147" s="106" t="s">
        <v>45</v>
      </c>
      <c r="E147" s="115">
        <f>H44</f>
        <v>284.42255503749999</v>
      </c>
      <c r="G147" s="448">
        <f>E147*F147</f>
        <v>0</v>
      </c>
    </row>
    <row r="148" spans="1:8" x14ac:dyDescent="0.25">
      <c r="A148" s="419" t="s">
        <v>1609</v>
      </c>
      <c r="B148" s="897"/>
      <c r="C148" s="898" t="s">
        <v>2634</v>
      </c>
      <c r="D148" s="899"/>
      <c r="E148" s="900"/>
      <c r="F148" s="901"/>
      <c r="G148" s="902"/>
      <c r="H148" s="903"/>
    </row>
    <row r="149" spans="1:8" x14ac:dyDescent="0.25">
      <c r="A149" s="419" t="s">
        <v>2184</v>
      </c>
      <c r="B149" s="105">
        <v>892351111</v>
      </c>
      <c r="C149" s="116" t="s">
        <v>264</v>
      </c>
      <c r="D149" s="106" t="s">
        <v>28</v>
      </c>
      <c r="E149" s="106">
        <v>150.47</v>
      </c>
      <c r="G149" s="119">
        <f>E145*F145</f>
        <v>0</v>
      </c>
    </row>
    <row r="150" spans="1:8" x14ac:dyDescent="0.25">
      <c r="A150" s="419" t="s">
        <v>2185</v>
      </c>
      <c r="C150" s="116" t="s">
        <v>224</v>
      </c>
      <c r="D150" s="106" t="s">
        <v>26</v>
      </c>
      <c r="E150" s="106">
        <v>1</v>
      </c>
      <c r="G150" s="119">
        <f t="shared" ref="G150:G156" si="5">E150*F150</f>
        <v>0</v>
      </c>
    </row>
    <row r="151" spans="1:8" x14ac:dyDescent="0.25">
      <c r="A151" s="419" t="s">
        <v>2186</v>
      </c>
      <c r="B151" s="105">
        <v>892273922</v>
      </c>
      <c r="C151" s="120" t="s">
        <v>225</v>
      </c>
      <c r="D151" s="106" t="s">
        <v>28</v>
      </c>
      <c r="E151" s="106">
        <f>8.03+58.84+39.7+2.05+11.35+30.5</f>
        <v>150.47</v>
      </c>
      <c r="G151" s="115">
        <f t="shared" si="5"/>
        <v>0</v>
      </c>
    </row>
    <row r="152" spans="1:8" x14ac:dyDescent="0.25">
      <c r="A152" s="419" t="s">
        <v>2187</v>
      </c>
      <c r="B152" s="105">
        <v>892273932</v>
      </c>
      <c r="C152" s="120" t="s">
        <v>226</v>
      </c>
      <c r="D152" s="106" t="s">
        <v>28</v>
      </c>
      <c r="E152" s="108">
        <f>8.03+58.84+39.7+2.05+11.35+30.5</f>
        <v>150.47</v>
      </c>
      <c r="F152" s="108"/>
      <c r="G152" s="115">
        <f t="shared" si="5"/>
        <v>0</v>
      </c>
    </row>
    <row r="153" spans="1:8" x14ac:dyDescent="0.25">
      <c r="A153" s="419" t="s">
        <v>2188</v>
      </c>
      <c r="B153" s="105" t="s">
        <v>360</v>
      </c>
      <c r="C153" s="116" t="s">
        <v>227</v>
      </c>
      <c r="D153" s="106" t="s">
        <v>358</v>
      </c>
      <c r="E153" s="106">
        <f>8*4</f>
        <v>32</v>
      </c>
      <c r="G153" s="115">
        <f t="shared" si="5"/>
        <v>0</v>
      </c>
    </row>
    <row r="154" spans="1:8" x14ac:dyDescent="0.25">
      <c r="A154" s="419" t="s">
        <v>2189</v>
      </c>
      <c r="B154" s="105">
        <v>733190108</v>
      </c>
      <c r="C154" s="116" t="s">
        <v>228</v>
      </c>
      <c r="D154" s="106" t="s">
        <v>28</v>
      </c>
      <c r="E154" s="106">
        <f>E145</f>
        <v>150.47</v>
      </c>
      <c r="G154" s="115">
        <f t="shared" si="5"/>
        <v>0</v>
      </c>
    </row>
    <row r="155" spans="1:8" s="515" customFormat="1" ht="15" x14ac:dyDescent="0.25">
      <c r="A155" s="419" t="s">
        <v>2190</v>
      </c>
      <c r="B155" s="117"/>
      <c r="C155" s="435" t="s">
        <v>662</v>
      </c>
      <c r="D155" s="527" t="s">
        <v>26</v>
      </c>
      <c r="E155" s="474">
        <v>1</v>
      </c>
      <c r="F155" s="642"/>
      <c r="G155" s="465">
        <f t="shared" si="5"/>
        <v>0</v>
      </c>
      <c r="H155" s="619"/>
    </row>
    <row r="156" spans="1:8" s="515" customFormat="1" ht="15" x14ac:dyDescent="0.25">
      <c r="A156" s="419" t="s">
        <v>2191</v>
      </c>
      <c r="B156" s="117"/>
      <c r="C156" s="21" t="s">
        <v>669</v>
      </c>
      <c r="D156" s="13" t="s">
        <v>26</v>
      </c>
      <c r="E156" s="504">
        <v>1</v>
      </c>
      <c r="F156" s="504"/>
      <c r="G156" s="448">
        <f t="shared" si="5"/>
        <v>0</v>
      </c>
      <c r="H156" s="619"/>
    </row>
    <row r="157" spans="1:8" x14ac:dyDescent="0.25">
      <c r="A157" s="419"/>
      <c r="E157" s="115"/>
      <c r="G157" s="448"/>
    </row>
    <row r="159" spans="1:8" x14ac:dyDescent="0.25">
      <c r="C159" s="120"/>
    </row>
  </sheetData>
  <phoneticPr fontId="12" type="noConversion"/>
  <printOptions gridLines="1"/>
  <pageMargins left="0.47244094488188981" right="0.47244094488188981" top="0.59055118110236227" bottom="0.59055118110236227" header="0.31496062992125984" footer="0.31496062992125984"/>
  <pageSetup paperSize="9" scale="69" fitToHeight="100" orientation="portrait" r:id="rId1"/>
  <headerFooter>
    <oddFoote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126"/>
  <sheetViews>
    <sheetView topLeftCell="A40" workbookViewId="0">
      <selection activeCell="F48" sqref="F48:F119"/>
    </sheetView>
  </sheetViews>
  <sheetFormatPr defaultRowHeight="13.2" x14ac:dyDescent="0.25"/>
  <cols>
    <col min="1" max="1" width="5.6640625" style="13" customWidth="1"/>
    <col min="2" max="2" width="11.6640625" style="447" customWidth="1"/>
    <col min="3" max="3" width="77.5546875" style="21" customWidth="1"/>
    <col min="4" max="4" width="5.44140625" style="13" customWidth="1"/>
    <col min="5" max="5" width="6.5546875" style="21" customWidth="1"/>
    <col min="6" max="6" width="8.6640625" style="501" customWidth="1"/>
    <col min="7" max="7" width="10" style="461" customWidth="1"/>
    <col min="8" max="8" width="10.109375" style="21" customWidth="1"/>
    <col min="9" max="16384" width="8.88671875" style="21"/>
  </cols>
  <sheetData>
    <row r="1" spans="1:7" x14ac:dyDescent="0.25">
      <c r="A1" s="423"/>
      <c r="B1" s="109"/>
      <c r="C1" s="467" t="s">
        <v>95</v>
      </c>
      <c r="E1" s="26"/>
    </row>
    <row r="2" spans="1:7" x14ac:dyDescent="0.25">
      <c r="A2" s="423"/>
      <c r="B2" s="109"/>
      <c r="C2" s="13" t="s">
        <v>96</v>
      </c>
      <c r="E2" s="26"/>
    </row>
    <row r="3" spans="1:7" x14ac:dyDescent="0.25">
      <c r="A3" s="423"/>
      <c r="B3" s="109"/>
      <c r="C3" s="13" t="s">
        <v>97</v>
      </c>
      <c r="E3" s="26"/>
    </row>
    <row r="4" spans="1:7" ht="13.8" customHeight="1" x14ac:dyDescent="0.25">
      <c r="A4" s="423"/>
      <c r="B4" s="109"/>
      <c r="C4" s="13"/>
      <c r="E4" s="26"/>
    </row>
    <row r="5" spans="1:7" x14ac:dyDescent="0.25">
      <c r="A5" s="423"/>
      <c r="B5" s="109"/>
      <c r="C5" s="13"/>
      <c r="E5" s="26"/>
    </row>
    <row r="6" spans="1:7" x14ac:dyDescent="0.25">
      <c r="A6" s="423"/>
      <c r="B6" s="109"/>
      <c r="C6" s="13" t="s">
        <v>98</v>
      </c>
      <c r="E6" s="26"/>
    </row>
    <row r="7" spans="1:7" x14ac:dyDescent="0.25">
      <c r="A7" s="423"/>
      <c r="B7" s="109"/>
      <c r="C7" s="467" t="s">
        <v>280</v>
      </c>
      <c r="E7" s="26"/>
    </row>
    <row r="8" spans="1:7" x14ac:dyDescent="0.25">
      <c r="A8" s="423"/>
      <c r="B8" s="109"/>
      <c r="C8" s="13"/>
      <c r="E8" s="26"/>
    </row>
    <row r="9" spans="1:7" x14ac:dyDescent="0.25">
      <c r="A9" s="423"/>
      <c r="B9" s="109"/>
      <c r="C9" s="13"/>
      <c r="E9" s="26"/>
    </row>
    <row r="10" spans="1:7" x14ac:dyDescent="0.25">
      <c r="A10" s="423"/>
      <c r="B10" s="109"/>
      <c r="C10" s="13"/>
      <c r="E10" s="26"/>
    </row>
    <row r="11" spans="1:7" x14ac:dyDescent="0.25">
      <c r="A11" s="423"/>
      <c r="B11" s="109"/>
      <c r="C11" s="13"/>
      <c r="E11" s="26"/>
    </row>
    <row r="12" spans="1:7" x14ac:dyDescent="0.25">
      <c r="A12" s="423" t="s">
        <v>99</v>
      </c>
      <c r="B12" s="109"/>
      <c r="C12" s="13" t="s">
        <v>100</v>
      </c>
      <c r="E12" s="26"/>
    </row>
    <row r="13" spans="1:7" x14ac:dyDescent="0.25">
      <c r="A13" s="423" t="s">
        <v>101</v>
      </c>
      <c r="B13" s="109"/>
      <c r="C13" s="467" t="s">
        <v>281</v>
      </c>
      <c r="D13" s="13" t="s">
        <v>71</v>
      </c>
      <c r="E13" s="26"/>
      <c r="G13" s="494">
        <f>SUM(G46:G119)</f>
        <v>0</v>
      </c>
    </row>
    <row r="14" spans="1:7" x14ac:dyDescent="0.25">
      <c r="A14" s="423" t="s">
        <v>102</v>
      </c>
      <c r="B14" s="109"/>
      <c r="C14" s="13"/>
      <c r="E14" s="26"/>
    </row>
    <row r="15" spans="1:7" x14ac:dyDescent="0.25">
      <c r="A15" s="423" t="s">
        <v>103</v>
      </c>
      <c r="B15" s="109"/>
      <c r="C15" s="13" t="s">
        <v>104</v>
      </c>
      <c r="D15" s="13" t="s">
        <v>71</v>
      </c>
      <c r="E15" s="26"/>
      <c r="G15" s="494">
        <f>SUM(G13:G14)</f>
        <v>0</v>
      </c>
    </row>
    <row r="16" spans="1:7" x14ac:dyDescent="0.25">
      <c r="A16" s="423" t="s">
        <v>105</v>
      </c>
      <c r="B16" s="109"/>
      <c r="C16" s="13" t="s">
        <v>2543</v>
      </c>
      <c r="D16" s="13" t="s">
        <v>71</v>
      </c>
      <c r="E16" s="26">
        <v>0.03</v>
      </c>
      <c r="G16" s="461">
        <f>G15*E16</f>
        <v>0</v>
      </c>
    </row>
    <row r="17" spans="1:17" x14ac:dyDescent="0.25">
      <c r="A17" s="423" t="s">
        <v>107</v>
      </c>
      <c r="B17" s="109"/>
      <c r="C17" s="13" t="s">
        <v>108</v>
      </c>
      <c r="D17" s="13" t="s">
        <v>71</v>
      </c>
      <c r="E17" s="26"/>
      <c r="G17" s="494">
        <f>SUM(G15:G16)</f>
        <v>0</v>
      </c>
    </row>
    <row r="18" spans="1:17" x14ac:dyDescent="0.25">
      <c r="A18" s="423" t="s">
        <v>109</v>
      </c>
      <c r="B18" s="109"/>
      <c r="C18" s="13" t="s">
        <v>110</v>
      </c>
      <c r="D18" s="13" t="s">
        <v>71</v>
      </c>
      <c r="E18" s="26">
        <v>0.21</v>
      </c>
      <c r="G18" s="461">
        <f>G17*E18</f>
        <v>0</v>
      </c>
    </row>
    <row r="19" spans="1:17" x14ac:dyDescent="0.25">
      <c r="A19" s="423" t="s">
        <v>111</v>
      </c>
      <c r="B19" s="109"/>
      <c r="C19" s="13"/>
      <c r="E19" s="26"/>
    </row>
    <row r="20" spans="1:17" x14ac:dyDescent="0.25">
      <c r="A20" s="423" t="s">
        <v>112</v>
      </c>
      <c r="B20" s="109"/>
      <c r="C20" s="13" t="s">
        <v>113</v>
      </c>
      <c r="D20" s="13" t="s">
        <v>71</v>
      </c>
      <c r="E20" s="26"/>
      <c r="G20" s="494">
        <f>SUM(G17:G18)</f>
        <v>0</v>
      </c>
    </row>
    <row r="21" spans="1:17" x14ac:dyDescent="0.25">
      <c r="A21" s="423" t="s">
        <v>928</v>
      </c>
      <c r="B21" s="109"/>
      <c r="C21" s="13"/>
      <c r="E21" s="26"/>
      <c r="G21" s="765"/>
    </row>
    <row r="22" spans="1:17" x14ac:dyDescent="0.25">
      <c r="A22" s="423" t="s">
        <v>934</v>
      </c>
      <c r="B22" s="109"/>
      <c r="C22" s="27"/>
      <c r="E22" s="26"/>
    </row>
    <row r="23" spans="1:17" s="772" customFormat="1" ht="36.75" customHeight="1" x14ac:dyDescent="0.25">
      <c r="A23" s="766" t="s">
        <v>114</v>
      </c>
      <c r="B23" s="767" t="s">
        <v>432</v>
      </c>
      <c r="C23" s="768" t="s">
        <v>115</v>
      </c>
      <c r="D23" s="426" t="s">
        <v>116</v>
      </c>
      <c r="E23" s="769" t="s">
        <v>117</v>
      </c>
      <c r="F23" s="512" t="s">
        <v>118</v>
      </c>
      <c r="G23" s="428" t="s">
        <v>119</v>
      </c>
      <c r="H23" s="770" t="s">
        <v>607</v>
      </c>
      <c r="I23" s="771"/>
      <c r="L23" s="773"/>
      <c r="M23" s="774"/>
      <c r="O23" s="775"/>
      <c r="P23" s="774"/>
      <c r="Q23" s="776"/>
    </row>
    <row r="24" spans="1:17" x14ac:dyDescent="0.25">
      <c r="A24" s="423" t="s">
        <v>123</v>
      </c>
      <c r="B24" s="109"/>
      <c r="C24" s="27" t="s">
        <v>142</v>
      </c>
      <c r="E24" s="26"/>
    </row>
    <row r="25" spans="1:17" x14ac:dyDescent="0.25">
      <c r="A25" s="423" t="s">
        <v>948</v>
      </c>
      <c r="B25" s="109"/>
      <c r="C25" s="27" t="s">
        <v>143</v>
      </c>
      <c r="E25" s="26"/>
    </row>
    <row r="26" spans="1:17" ht="66" x14ac:dyDescent="0.25">
      <c r="A26" s="423" t="s">
        <v>967</v>
      </c>
      <c r="B26" s="109"/>
      <c r="C26" s="27" t="s">
        <v>144</v>
      </c>
      <c r="E26" s="26"/>
    </row>
    <row r="27" spans="1:17" ht="26.4" x14ac:dyDescent="0.25">
      <c r="A27" s="423" t="s">
        <v>974</v>
      </c>
      <c r="B27" s="109"/>
      <c r="C27" s="21" t="s">
        <v>2360</v>
      </c>
      <c r="E27" s="26"/>
    </row>
    <row r="28" spans="1:17" x14ac:dyDescent="0.25">
      <c r="A28" s="423" t="s">
        <v>980</v>
      </c>
      <c r="B28" s="109"/>
      <c r="C28" s="27" t="s">
        <v>145</v>
      </c>
      <c r="E28" s="26"/>
    </row>
    <row r="29" spans="1:17" ht="52.8" x14ac:dyDescent="0.25">
      <c r="A29" s="423" t="s">
        <v>990</v>
      </c>
      <c r="B29" s="109"/>
      <c r="C29" s="27" t="s">
        <v>146</v>
      </c>
      <c r="E29" s="26"/>
    </row>
    <row r="30" spans="1:17" x14ac:dyDescent="0.25">
      <c r="A30" s="423" t="s">
        <v>996</v>
      </c>
      <c r="B30" s="109"/>
      <c r="C30" s="27" t="s">
        <v>147</v>
      </c>
      <c r="E30" s="26"/>
    </row>
    <row r="31" spans="1:17" ht="26.4" x14ac:dyDescent="0.25">
      <c r="A31" s="423" t="s">
        <v>1002</v>
      </c>
      <c r="B31" s="109"/>
      <c r="C31" s="27" t="s">
        <v>148</v>
      </c>
      <c r="E31" s="26"/>
    </row>
    <row r="32" spans="1:17" ht="26.4" x14ac:dyDescent="0.25">
      <c r="A32" s="423" t="s">
        <v>1008</v>
      </c>
      <c r="B32" s="109"/>
      <c r="C32" s="21" t="s">
        <v>431</v>
      </c>
      <c r="E32" s="26"/>
    </row>
    <row r="33" spans="1:8" x14ac:dyDescent="0.25">
      <c r="A33" s="423" t="s">
        <v>1012</v>
      </c>
      <c r="B33" s="109"/>
      <c r="C33" s="27" t="s">
        <v>150</v>
      </c>
      <c r="E33" s="26"/>
    </row>
    <row r="34" spans="1:8" x14ac:dyDescent="0.25">
      <c r="A34" s="423" t="s">
        <v>1018</v>
      </c>
      <c r="B34" s="109"/>
      <c r="C34" s="27" t="s">
        <v>151</v>
      </c>
      <c r="E34" s="26"/>
    </row>
    <row r="35" spans="1:8" x14ac:dyDescent="0.25">
      <c r="A35" s="423" t="s">
        <v>1022</v>
      </c>
      <c r="B35" s="109"/>
      <c r="C35" s="21" t="s">
        <v>2358</v>
      </c>
      <c r="E35" s="26"/>
    </row>
    <row r="36" spans="1:8" ht="26.4" x14ac:dyDescent="0.25">
      <c r="A36" s="423" t="s">
        <v>1026</v>
      </c>
      <c r="B36" s="109"/>
      <c r="C36" s="27" t="s">
        <v>152</v>
      </c>
      <c r="E36" s="26"/>
    </row>
    <row r="37" spans="1:8" x14ac:dyDescent="0.25">
      <c r="A37" s="423" t="s">
        <v>1030</v>
      </c>
      <c r="B37" s="109"/>
      <c r="C37" s="27" t="s">
        <v>153</v>
      </c>
      <c r="E37" s="26"/>
    </row>
    <row r="38" spans="1:8" x14ac:dyDescent="0.25">
      <c r="A38" s="423" t="s">
        <v>1034</v>
      </c>
      <c r="B38" s="109"/>
      <c r="C38" s="27" t="s">
        <v>154</v>
      </c>
      <c r="E38" s="26"/>
    </row>
    <row r="39" spans="1:8" x14ac:dyDescent="0.25">
      <c r="A39" s="423" t="s">
        <v>1038</v>
      </c>
      <c r="B39" s="109"/>
      <c r="C39" s="21" t="s">
        <v>2359</v>
      </c>
      <c r="E39" s="26"/>
    </row>
    <row r="40" spans="1:8" ht="26.4" x14ac:dyDescent="0.25">
      <c r="A40" s="423" t="s">
        <v>1042</v>
      </c>
      <c r="B40" s="109"/>
      <c r="C40" s="21" t="s">
        <v>2361</v>
      </c>
      <c r="E40" s="26"/>
    </row>
    <row r="41" spans="1:8" ht="52.8" x14ac:dyDescent="0.25">
      <c r="A41" s="423" t="s">
        <v>1046</v>
      </c>
      <c r="B41" s="109"/>
      <c r="C41" s="21" t="s">
        <v>2182</v>
      </c>
    </row>
    <row r="42" spans="1:8" x14ac:dyDescent="0.25">
      <c r="A42" s="423" t="s">
        <v>1050</v>
      </c>
      <c r="B42" s="109"/>
      <c r="C42" s="27" t="s">
        <v>2179</v>
      </c>
    </row>
    <row r="43" spans="1:8" x14ac:dyDescent="0.25">
      <c r="A43" s="423" t="s">
        <v>1054</v>
      </c>
      <c r="B43" s="109"/>
      <c r="C43" s="27" t="s">
        <v>2355</v>
      </c>
    </row>
    <row r="44" spans="1:8" x14ac:dyDescent="0.25">
      <c r="A44" s="423" t="s">
        <v>1058</v>
      </c>
      <c r="B44" s="109"/>
      <c r="C44" s="133" t="s">
        <v>2356</v>
      </c>
      <c r="E44" s="26"/>
    </row>
    <row r="45" spans="1:8" ht="39.6" x14ac:dyDescent="0.25">
      <c r="A45" s="423" t="s">
        <v>1062</v>
      </c>
      <c r="B45" s="109"/>
      <c r="C45" s="133" t="s">
        <v>663</v>
      </c>
      <c r="E45" s="26"/>
    </row>
    <row r="46" spans="1:8" x14ac:dyDescent="0.25">
      <c r="A46" s="423" t="s">
        <v>1066</v>
      </c>
      <c r="B46" s="942"/>
      <c r="C46" s="945" t="s">
        <v>283</v>
      </c>
      <c r="D46" s="943"/>
      <c r="E46" s="905"/>
      <c r="F46" s="903"/>
      <c r="G46" s="902"/>
      <c r="H46" s="905"/>
    </row>
    <row r="47" spans="1:8" x14ac:dyDescent="0.25">
      <c r="A47" s="423" t="s">
        <v>1070</v>
      </c>
      <c r="B47" s="942"/>
      <c r="C47" s="944" t="s">
        <v>284</v>
      </c>
      <c r="D47" s="943"/>
      <c r="E47" s="905"/>
      <c r="F47" s="903"/>
      <c r="G47" s="902"/>
      <c r="H47" s="905"/>
    </row>
    <row r="48" spans="1:8" x14ac:dyDescent="0.25">
      <c r="A48" s="423" t="s">
        <v>1075</v>
      </c>
      <c r="B48" s="447" t="s">
        <v>285</v>
      </c>
      <c r="C48" s="21" t="s">
        <v>286</v>
      </c>
      <c r="D48" s="13" t="s">
        <v>140</v>
      </c>
      <c r="E48" s="21">
        <v>350</v>
      </c>
      <c r="G48" s="461">
        <f t="shared" ref="G48:G53" si="0">E48*F48</f>
        <v>0</v>
      </c>
    </row>
    <row r="49" spans="1:8" x14ac:dyDescent="0.25">
      <c r="A49" s="423" t="s">
        <v>1079</v>
      </c>
      <c r="B49" s="447" t="s">
        <v>285</v>
      </c>
      <c r="C49" s="21" t="s">
        <v>287</v>
      </c>
      <c r="D49" s="13" t="s">
        <v>140</v>
      </c>
      <c r="E49" s="21">
        <v>350</v>
      </c>
      <c r="G49" s="461">
        <f t="shared" si="0"/>
        <v>0</v>
      </c>
    </row>
    <row r="50" spans="1:8" x14ac:dyDescent="0.25">
      <c r="A50" s="423" t="s">
        <v>1083</v>
      </c>
      <c r="B50" s="447" t="s">
        <v>285</v>
      </c>
      <c r="C50" s="21" t="s">
        <v>288</v>
      </c>
      <c r="D50" s="13" t="s">
        <v>26</v>
      </c>
      <c r="E50" s="21">
        <v>25</v>
      </c>
      <c r="G50" s="461">
        <f t="shared" si="0"/>
        <v>0</v>
      </c>
    </row>
    <row r="51" spans="1:8" x14ac:dyDescent="0.25">
      <c r="A51" s="423" t="s">
        <v>1087</v>
      </c>
      <c r="B51" s="447" t="s">
        <v>285</v>
      </c>
      <c r="C51" s="21" t="s">
        <v>289</v>
      </c>
      <c r="D51" s="13" t="s">
        <v>26</v>
      </c>
      <c r="E51" s="21">
        <v>12</v>
      </c>
      <c r="G51" s="461">
        <f t="shared" si="0"/>
        <v>0</v>
      </c>
    </row>
    <row r="52" spans="1:8" x14ac:dyDescent="0.25">
      <c r="A52" s="423" t="s">
        <v>1092</v>
      </c>
      <c r="B52" s="447" t="s">
        <v>285</v>
      </c>
      <c r="C52" s="21" t="s">
        <v>290</v>
      </c>
      <c r="D52" s="13" t="s">
        <v>26</v>
      </c>
      <c r="E52" s="21">
        <v>12</v>
      </c>
      <c r="G52" s="461">
        <f t="shared" si="0"/>
        <v>0</v>
      </c>
    </row>
    <row r="53" spans="1:8" x14ac:dyDescent="0.25">
      <c r="A53" s="423" t="s">
        <v>1097</v>
      </c>
      <c r="B53" s="447" t="s">
        <v>291</v>
      </c>
      <c r="C53" s="21" t="s">
        <v>292</v>
      </c>
      <c r="D53" s="13" t="s">
        <v>140</v>
      </c>
      <c r="E53" s="21">
        <v>300</v>
      </c>
      <c r="G53" s="461">
        <f t="shared" si="0"/>
        <v>0</v>
      </c>
    </row>
    <row r="54" spans="1:8" x14ac:dyDescent="0.25">
      <c r="A54" s="423" t="s">
        <v>1102</v>
      </c>
      <c r="B54" s="942"/>
      <c r="C54" s="944" t="s">
        <v>293</v>
      </c>
      <c r="D54" s="943"/>
      <c r="E54" s="905"/>
      <c r="F54" s="903"/>
      <c r="G54" s="902"/>
      <c r="H54" s="905"/>
    </row>
    <row r="55" spans="1:8" x14ac:dyDescent="0.25">
      <c r="A55" s="423" t="s">
        <v>1106</v>
      </c>
      <c r="B55" s="447" t="s">
        <v>285</v>
      </c>
      <c r="C55" s="21" t="s">
        <v>294</v>
      </c>
      <c r="D55" s="13" t="s">
        <v>26</v>
      </c>
      <c r="E55" s="21">
        <v>7</v>
      </c>
      <c r="G55" s="461">
        <f>E55*F55</f>
        <v>0</v>
      </c>
    </row>
    <row r="56" spans="1:8" x14ac:dyDescent="0.25">
      <c r="A56" s="423" t="s">
        <v>1111</v>
      </c>
      <c r="B56" s="447" t="s">
        <v>285</v>
      </c>
      <c r="C56" s="21" t="s">
        <v>295</v>
      </c>
      <c r="D56" s="13" t="s">
        <v>26</v>
      </c>
      <c r="E56" s="21">
        <v>1</v>
      </c>
      <c r="G56" s="461">
        <f>E56*F56</f>
        <v>0</v>
      </c>
    </row>
    <row r="57" spans="1:8" x14ac:dyDescent="0.25">
      <c r="A57" s="423" t="s">
        <v>1116</v>
      </c>
      <c r="B57" s="447" t="s">
        <v>285</v>
      </c>
      <c r="C57" s="21" t="s">
        <v>296</v>
      </c>
      <c r="D57" s="13" t="s">
        <v>26</v>
      </c>
      <c r="E57" s="21">
        <v>5</v>
      </c>
      <c r="G57" s="461">
        <f>E57*F57</f>
        <v>0</v>
      </c>
    </row>
    <row r="58" spans="1:8" x14ac:dyDescent="0.25">
      <c r="A58" s="423" t="s">
        <v>1121</v>
      </c>
      <c r="B58" s="942"/>
      <c r="C58" s="944" t="s">
        <v>297</v>
      </c>
      <c r="D58" s="943"/>
      <c r="E58" s="905"/>
      <c r="F58" s="903"/>
      <c r="G58" s="902"/>
      <c r="H58" s="905"/>
    </row>
    <row r="59" spans="1:8" s="504" customFormat="1" ht="26.4" x14ac:dyDescent="0.25">
      <c r="A59" s="423" t="s">
        <v>1125</v>
      </c>
      <c r="B59" s="128" t="s">
        <v>291</v>
      </c>
      <c r="C59" s="27" t="s">
        <v>2460</v>
      </c>
      <c r="D59" s="13" t="s">
        <v>26</v>
      </c>
      <c r="E59" s="21">
        <v>7</v>
      </c>
      <c r="F59" s="501"/>
      <c r="G59" s="461">
        <f>E59*F59</f>
        <v>0</v>
      </c>
    </row>
    <row r="60" spans="1:8" s="504" customFormat="1" ht="26.4" x14ac:dyDescent="0.25">
      <c r="A60" s="423" t="s">
        <v>1130</v>
      </c>
      <c r="B60" s="128" t="s">
        <v>291</v>
      </c>
      <c r="C60" s="27" t="s">
        <v>2461</v>
      </c>
      <c r="D60" s="13" t="s">
        <v>26</v>
      </c>
      <c r="E60" s="21">
        <v>1</v>
      </c>
      <c r="F60" s="777"/>
      <c r="G60" s="461">
        <f t="shared" ref="G60:G71" si="1">E60*F60</f>
        <v>0</v>
      </c>
    </row>
    <row r="61" spans="1:8" s="504" customFormat="1" ht="26.4" x14ac:dyDescent="0.25">
      <c r="A61" s="423" t="s">
        <v>1134</v>
      </c>
      <c r="B61" s="128" t="s">
        <v>291</v>
      </c>
      <c r="C61" s="27" t="s">
        <v>2462</v>
      </c>
      <c r="D61" s="13" t="s">
        <v>26</v>
      </c>
      <c r="E61" s="21">
        <v>2</v>
      </c>
      <c r="F61" s="777"/>
      <c r="G61" s="461">
        <f t="shared" si="1"/>
        <v>0</v>
      </c>
    </row>
    <row r="62" spans="1:8" s="504" customFormat="1" x14ac:dyDescent="0.25">
      <c r="A62" s="423" t="s">
        <v>1139</v>
      </c>
      <c r="B62" s="128" t="s">
        <v>285</v>
      </c>
      <c r="C62" s="27" t="s">
        <v>2463</v>
      </c>
      <c r="D62" s="13" t="s">
        <v>26</v>
      </c>
      <c r="E62" s="21">
        <v>5</v>
      </c>
      <c r="F62" s="501"/>
      <c r="G62" s="461">
        <f t="shared" si="1"/>
        <v>0</v>
      </c>
    </row>
    <row r="63" spans="1:8" s="504" customFormat="1" x14ac:dyDescent="0.25">
      <c r="A63" s="423" t="s">
        <v>1143</v>
      </c>
      <c r="B63" s="128" t="s">
        <v>285</v>
      </c>
      <c r="C63" s="27" t="s">
        <v>2464</v>
      </c>
      <c r="D63" s="13" t="s">
        <v>26</v>
      </c>
      <c r="E63" s="21">
        <v>4</v>
      </c>
      <c r="F63" s="501"/>
      <c r="G63" s="461">
        <f t="shared" si="1"/>
        <v>0</v>
      </c>
    </row>
    <row r="64" spans="1:8" s="504" customFormat="1" x14ac:dyDescent="0.25">
      <c r="A64" s="423" t="s">
        <v>1148</v>
      </c>
      <c r="B64" s="128" t="s">
        <v>285</v>
      </c>
      <c r="C64" s="27" t="s">
        <v>2465</v>
      </c>
      <c r="D64" s="13" t="s">
        <v>26</v>
      </c>
      <c r="E64" s="21">
        <v>1</v>
      </c>
      <c r="F64" s="501"/>
      <c r="G64" s="461">
        <f t="shared" si="1"/>
        <v>0</v>
      </c>
    </row>
    <row r="65" spans="1:8" s="504" customFormat="1" ht="39.6" x14ac:dyDescent="0.25">
      <c r="A65" s="423" t="s">
        <v>1152</v>
      </c>
      <c r="B65" s="128" t="s">
        <v>285</v>
      </c>
      <c r="C65" s="27" t="s">
        <v>2466</v>
      </c>
      <c r="D65" s="13" t="s">
        <v>26</v>
      </c>
      <c r="E65" s="21">
        <v>22</v>
      </c>
      <c r="F65" s="501"/>
      <c r="G65" s="461">
        <f t="shared" si="1"/>
        <v>0</v>
      </c>
    </row>
    <row r="66" spans="1:8" s="504" customFormat="1" ht="39.6" x14ac:dyDescent="0.25">
      <c r="A66" s="423" t="s">
        <v>1157</v>
      </c>
      <c r="B66" s="128" t="s">
        <v>285</v>
      </c>
      <c r="C66" s="27" t="s">
        <v>2467</v>
      </c>
      <c r="D66" s="13" t="s">
        <v>26</v>
      </c>
      <c r="E66" s="21">
        <v>2</v>
      </c>
      <c r="F66" s="777"/>
      <c r="G66" s="461">
        <f t="shared" si="1"/>
        <v>0</v>
      </c>
    </row>
    <row r="67" spans="1:8" s="504" customFormat="1" x14ac:dyDescent="0.25">
      <c r="A67" s="423" t="s">
        <v>1162</v>
      </c>
      <c r="B67" s="128" t="s">
        <v>298</v>
      </c>
      <c r="C67" s="27" t="s">
        <v>299</v>
      </c>
      <c r="D67" s="13" t="s">
        <v>26</v>
      </c>
      <c r="E67" s="21">
        <v>10</v>
      </c>
      <c r="F67" s="501"/>
      <c r="G67" s="461">
        <f t="shared" si="1"/>
        <v>0</v>
      </c>
    </row>
    <row r="68" spans="1:8" s="504" customFormat="1" x14ac:dyDescent="0.25">
      <c r="A68" s="423" t="s">
        <v>1167</v>
      </c>
      <c r="B68" s="128" t="s">
        <v>298</v>
      </c>
      <c r="C68" s="778" t="s">
        <v>300</v>
      </c>
      <c r="D68" s="13" t="s">
        <v>26</v>
      </c>
      <c r="E68" s="28">
        <v>10</v>
      </c>
      <c r="F68" s="499"/>
      <c r="G68" s="461">
        <f t="shared" si="1"/>
        <v>0</v>
      </c>
      <c r="H68" s="779" t="s">
        <v>301</v>
      </c>
    </row>
    <row r="69" spans="1:8" s="504" customFormat="1" x14ac:dyDescent="0.25">
      <c r="A69" s="423" t="s">
        <v>1172</v>
      </c>
      <c r="B69" s="128" t="s">
        <v>285</v>
      </c>
      <c r="C69" s="778" t="s">
        <v>302</v>
      </c>
      <c r="D69" s="780" t="s">
        <v>28</v>
      </c>
      <c r="E69" s="28">
        <v>202</v>
      </c>
      <c r="F69" s="499"/>
      <c r="G69" s="461">
        <f t="shared" si="1"/>
        <v>0</v>
      </c>
      <c r="H69" s="781"/>
    </row>
    <row r="70" spans="1:8" s="504" customFormat="1" x14ac:dyDescent="0.25">
      <c r="A70" s="423" t="s">
        <v>1177</v>
      </c>
      <c r="B70" s="128" t="s">
        <v>285</v>
      </c>
      <c r="C70" s="778" t="s">
        <v>303</v>
      </c>
      <c r="D70" s="13" t="s">
        <v>26</v>
      </c>
      <c r="E70" s="28">
        <v>3</v>
      </c>
      <c r="F70" s="499"/>
      <c r="G70" s="461">
        <f t="shared" si="1"/>
        <v>0</v>
      </c>
      <c r="H70" s="781"/>
    </row>
    <row r="71" spans="1:8" s="504" customFormat="1" x14ac:dyDescent="0.25">
      <c r="A71" s="423" t="s">
        <v>1183</v>
      </c>
      <c r="B71" s="128" t="s">
        <v>285</v>
      </c>
      <c r="C71" s="778" t="s">
        <v>304</v>
      </c>
      <c r="D71" s="13" t="s">
        <v>26</v>
      </c>
      <c r="E71" s="28">
        <v>7</v>
      </c>
      <c r="F71" s="499"/>
      <c r="G71" s="461">
        <f t="shared" si="1"/>
        <v>0</v>
      </c>
      <c r="H71" s="781"/>
    </row>
    <row r="72" spans="1:8" s="504" customFormat="1" ht="52.8" x14ac:dyDescent="0.25">
      <c r="A72" s="423" t="s">
        <v>1188</v>
      </c>
      <c r="B72" s="128" t="s">
        <v>285</v>
      </c>
      <c r="C72" s="27" t="s">
        <v>2333</v>
      </c>
      <c r="D72" s="13" t="s">
        <v>26</v>
      </c>
      <c r="E72" s="21">
        <v>2</v>
      </c>
      <c r="F72" s="501"/>
      <c r="G72" s="461">
        <f>E72*F72</f>
        <v>0</v>
      </c>
    </row>
    <row r="73" spans="1:8" s="504" customFormat="1" x14ac:dyDescent="0.25">
      <c r="A73" s="423" t="s">
        <v>1193</v>
      </c>
      <c r="B73" s="128"/>
      <c r="C73" s="27" t="s">
        <v>305</v>
      </c>
      <c r="D73" s="13"/>
      <c r="E73" s="21"/>
      <c r="F73" s="501"/>
      <c r="G73" s="461"/>
    </row>
    <row r="74" spans="1:8" s="504" customFormat="1" x14ac:dyDescent="0.25">
      <c r="A74" s="423" t="s">
        <v>1198</v>
      </c>
      <c r="B74" s="109" t="s">
        <v>359</v>
      </c>
      <c r="C74" s="27" t="s">
        <v>361</v>
      </c>
      <c r="D74" s="13" t="s">
        <v>358</v>
      </c>
      <c r="E74" s="21">
        <v>16</v>
      </c>
      <c r="F74" s="501"/>
      <c r="G74" s="461">
        <f>E74*F74</f>
        <v>0</v>
      </c>
    </row>
    <row r="75" spans="1:8" s="504" customFormat="1" x14ac:dyDescent="0.25">
      <c r="A75" s="423" t="s">
        <v>1204</v>
      </c>
      <c r="B75" s="109" t="s">
        <v>360</v>
      </c>
      <c r="C75" s="27" t="s">
        <v>362</v>
      </c>
      <c r="D75" s="13" t="s">
        <v>358</v>
      </c>
      <c r="E75" s="21">
        <v>32</v>
      </c>
      <c r="F75" s="501"/>
      <c r="G75" s="461">
        <f>E75*F75</f>
        <v>0</v>
      </c>
    </row>
    <row r="76" spans="1:8" s="504" customFormat="1" ht="39.6" x14ac:dyDescent="0.25">
      <c r="A76" s="423" t="s">
        <v>1208</v>
      </c>
      <c r="B76" s="128"/>
      <c r="C76" s="27" t="s">
        <v>2481</v>
      </c>
      <c r="D76" s="13"/>
      <c r="E76" s="21"/>
      <c r="F76" s="501"/>
      <c r="G76" s="461"/>
    </row>
    <row r="77" spans="1:8" s="504" customFormat="1" ht="39.6" x14ac:dyDescent="0.25">
      <c r="A77" s="423" t="s">
        <v>1212</v>
      </c>
      <c r="B77" s="156">
        <v>460161142</v>
      </c>
      <c r="C77" s="27" t="s">
        <v>2406</v>
      </c>
      <c r="D77" s="14" t="s">
        <v>28</v>
      </c>
      <c r="E77" s="137">
        <v>280</v>
      </c>
      <c r="F77" s="16"/>
      <c r="G77" s="12">
        <f t="shared" ref="G77:G84" si="2">E77*F77</f>
        <v>0</v>
      </c>
    </row>
    <row r="78" spans="1:8" s="504" customFormat="1" ht="26.4" x14ac:dyDescent="0.25">
      <c r="A78" s="423" t="s">
        <v>1216</v>
      </c>
      <c r="B78" s="156">
        <v>460661213</v>
      </c>
      <c r="C78" s="21" t="s">
        <v>2468</v>
      </c>
      <c r="D78" s="14" t="s">
        <v>28</v>
      </c>
      <c r="E78" s="137">
        <f>E77</f>
        <v>280</v>
      </c>
      <c r="F78" s="16"/>
      <c r="G78" s="12">
        <f t="shared" si="2"/>
        <v>0</v>
      </c>
    </row>
    <row r="79" spans="1:8" s="504" customFormat="1" ht="26.4" x14ac:dyDescent="0.25">
      <c r="A79" s="423" t="s">
        <v>1221</v>
      </c>
      <c r="B79" s="156">
        <v>460431252</v>
      </c>
      <c r="C79" s="21" t="s">
        <v>2469</v>
      </c>
      <c r="D79" s="14" t="s">
        <v>28</v>
      </c>
      <c r="E79" s="137">
        <v>280</v>
      </c>
      <c r="F79" s="16"/>
      <c r="G79" s="12">
        <f t="shared" si="2"/>
        <v>0</v>
      </c>
    </row>
    <row r="80" spans="1:8" ht="26.4" x14ac:dyDescent="0.25">
      <c r="A80" s="423" t="s">
        <v>1225</v>
      </c>
      <c r="B80" s="156">
        <v>460242211</v>
      </c>
      <c r="C80" s="21" t="s">
        <v>377</v>
      </c>
      <c r="D80" s="14" t="s">
        <v>26</v>
      </c>
      <c r="E80" s="137">
        <v>23</v>
      </c>
      <c r="F80" s="16"/>
      <c r="G80" s="12">
        <f t="shared" si="2"/>
        <v>0</v>
      </c>
    </row>
    <row r="81" spans="1:8" ht="13.8" x14ac:dyDescent="0.25">
      <c r="A81" s="423" t="s">
        <v>1230</v>
      </c>
      <c r="B81" s="156">
        <v>460242221</v>
      </c>
      <c r="C81" s="21" t="s">
        <v>355</v>
      </c>
      <c r="D81" s="14" t="s">
        <v>28</v>
      </c>
      <c r="E81" s="137">
        <v>65</v>
      </c>
      <c r="F81" s="16"/>
      <c r="G81" s="12">
        <f t="shared" si="2"/>
        <v>0</v>
      </c>
    </row>
    <row r="82" spans="1:8" ht="26.4" x14ac:dyDescent="0.25">
      <c r="A82" s="423" t="s">
        <v>1236</v>
      </c>
      <c r="B82" s="156">
        <v>460791214</v>
      </c>
      <c r="C82" s="21" t="s">
        <v>2470</v>
      </c>
      <c r="D82" s="14" t="s">
        <v>28</v>
      </c>
      <c r="E82" s="137">
        <v>300</v>
      </c>
      <c r="F82" s="16"/>
      <c r="G82" s="12">
        <f t="shared" si="2"/>
        <v>0</v>
      </c>
    </row>
    <row r="83" spans="1:8" ht="13.8" x14ac:dyDescent="0.25">
      <c r="A83" s="423" t="s">
        <v>1258</v>
      </c>
      <c r="B83" s="109">
        <v>776992111</v>
      </c>
      <c r="C83" s="21" t="s">
        <v>2471</v>
      </c>
      <c r="D83" s="782" t="s">
        <v>28</v>
      </c>
      <c r="E83" s="783">
        <v>350</v>
      </c>
      <c r="F83" s="759"/>
      <c r="G83" s="12">
        <f t="shared" si="2"/>
        <v>0</v>
      </c>
    </row>
    <row r="84" spans="1:8" ht="39.6" x14ac:dyDescent="0.25">
      <c r="A84" s="423" t="s">
        <v>1262</v>
      </c>
      <c r="B84" s="109">
        <v>460671112</v>
      </c>
      <c r="C84" s="21" t="s">
        <v>2472</v>
      </c>
      <c r="D84" s="782" t="s">
        <v>28</v>
      </c>
      <c r="E84" s="783">
        <v>280</v>
      </c>
      <c r="F84" s="759"/>
      <c r="G84" s="12">
        <f t="shared" si="2"/>
        <v>0</v>
      </c>
    </row>
    <row r="85" spans="1:8" ht="13.8" x14ac:dyDescent="0.25">
      <c r="A85" s="423" t="s">
        <v>1266</v>
      </c>
      <c r="B85" s="109"/>
      <c r="C85" s="21" t="s">
        <v>176</v>
      </c>
      <c r="D85" s="782"/>
      <c r="E85" s="783"/>
      <c r="F85" s="759"/>
      <c r="G85" s="12"/>
    </row>
    <row r="86" spans="1:8" ht="39.6" x14ac:dyDescent="0.25">
      <c r="A86" s="423" t="s">
        <v>1270</v>
      </c>
      <c r="C86" s="133" t="s">
        <v>664</v>
      </c>
    </row>
    <row r="87" spans="1:8" ht="66" x14ac:dyDescent="0.25">
      <c r="A87" s="423" t="s">
        <v>1274</v>
      </c>
      <c r="C87" s="21" t="s">
        <v>356</v>
      </c>
    </row>
    <row r="88" spans="1:8" ht="26.4" x14ac:dyDescent="0.25">
      <c r="A88" s="423" t="s">
        <v>1278</v>
      </c>
      <c r="C88" s="21" t="s">
        <v>666</v>
      </c>
    </row>
    <row r="89" spans="1:8" ht="39.6" x14ac:dyDescent="0.25">
      <c r="A89" s="423" t="s">
        <v>1288</v>
      </c>
      <c r="B89" s="447" t="s">
        <v>186</v>
      </c>
      <c r="C89" s="21" t="s">
        <v>2405</v>
      </c>
      <c r="D89" s="13" t="s">
        <v>27</v>
      </c>
      <c r="E89" s="21">
        <v>2</v>
      </c>
      <c r="G89" s="461">
        <f t="shared" ref="G89:G94" si="3">E89*F89</f>
        <v>0</v>
      </c>
    </row>
    <row r="90" spans="1:8" ht="26.4" x14ac:dyDescent="0.25">
      <c r="A90" s="423" t="s">
        <v>1292</v>
      </c>
      <c r="B90" s="109">
        <v>460631215</v>
      </c>
      <c r="C90" s="21" t="s">
        <v>665</v>
      </c>
      <c r="D90" s="13" t="s">
        <v>28</v>
      </c>
      <c r="E90" s="21">
        <v>15</v>
      </c>
      <c r="G90" s="461">
        <f t="shared" si="3"/>
        <v>0</v>
      </c>
      <c r="H90" s="21">
        <v>4.47E-3</v>
      </c>
    </row>
    <row r="91" spans="1:8" x14ac:dyDescent="0.25">
      <c r="A91" s="423" t="s">
        <v>1298</v>
      </c>
      <c r="B91" s="447" t="s">
        <v>186</v>
      </c>
      <c r="C91" s="21" t="s">
        <v>667</v>
      </c>
      <c r="D91" s="13" t="s">
        <v>27</v>
      </c>
      <c r="E91" s="21">
        <v>1</v>
      </c>
      <c r="G91" s="461">
        <f t="shared" si="3"/>
        <v>0</v>
      </c>
    </row>
    <row r="92" spans="1:8" ht="26.4" x14ac:dyDescent="0.25">
      <c r="A92" s="423" t="s">
        <v>1302</v>
      </c>
      <c r="B92" s="156">
        <v>460242211</v>
      </c>
      <c r="C92" s="21" t="s">
        <v>2407</v>
      </c>
      <c r="D92" s="14" t="s">
        <v>26</v>
      </c>
      <c r="E92" s="137">
        <v>20</v>
      </c>
      <c r="F92" s="16"/>
      <c r="G92" s="12">
        <f t="shared" si="3"/>
        <v>0</v>
      </c>
    </row>
    <row r="93" spans="1:8" ht="13.8" x14ac:dyDescent="0.25">
      <c r="A93" s="423" t="s">
        <v>1307</v>
      </c>
      <c r="B93" s="156">
        <v>460242221</v>
      </c>
      <c r="C93" s="21" t="s">
        <v>384</v>
      </c>
      <c r="D93" s="14" t="s">
        <v>28</v>
      </c>
      <c r="E93" s="137">
        <v>40</v>
      </c>
      <c r="F93" s="16"/>
      <c r="G93" s="12">
        <f t="shared" si="3"/>
        <v>0</v>
      </c>
    </row>
    <row r="94" spans="1:8" ht="13.8" x14ac:dyDescent="0.25">
      <c r="A94" s="423" t="s">
        <v>1313</v>
      </c>
      <c r="B94" s="156">
        <v>776992111</v>
      </c>
      <c r="C94" s="21" t="s">
        <v>2408</v>
      </c>
      <c r="D94" s="14" t="s">
        <v>28</v>
      </c>
      <c r="E94" s="137">
        <v>15</v>
      </c>
      <c r="F94" s="16"/>
      <c r="G94" s="12">
        <f t="shared" si="3"/>
        <v>0</v>
      </c>
    </row>
    <row r="95" spans="1:8" ht="26.4" x14ac:dyDescent="0.25">
      <c r="A95" s="423" t="s">
        <v>1318</v>
      </c>
      <c r="B95" s="109">
        <v>460671112</v>
      </c>
      <c r="C95" s="21" t="s">
        <v>2409</v>
      </c>
      <c r="D95" s="782" t="s">
        <v>28</v>
      </c>
      <c r="E95" s="137">
        <v>15</v>
      </c>
      <c r="F95" s="16"/>
      <c r="G95" s="12">
        <f>E95*F95</f>
        <v>0</v>
      </c>
    </row>
    <row r="96" spans="1:8" ht="13.8" x14ac:dyDescent="0.25">
      <c r="A96" s="423" t="s">
        <v>1323</v>
      </c>
      <c r="B96" s="942"/>
      <c r="C96" s="945" t="s">
        <v>309</v>
      </c>
      <c r="D96" s="906"/>
      <c r="E96" s="907"/>
      <c r="F96" s="908"/>
      <c r="G96" s="902"/>
      <c r="H96" s="905"/>
    </row>
    <row r="97" spans="1:8" ht="26.4" x14ac:dyDescent="0.25">
      <c r="A97" s="423" t="s">
        <v>1329</v>
      </c>
      <c r="B97" s="109" t="s">
        <v>363</v>
      </c>
      <c r="C97" s="133" t="s">
        <v>2410</v>
      </c>
      <c r="D97" s="782" t="s">
        <v>26</v>
      </c>
      <c r="E97" s="137">
        <v>15</v>
      </c>
      <c r="F97" s="16"/>
      <c r="G97" s="12">
        <f>E97*F97</f>
        <v>0</v>
      </c>
    </row>
    <row r="98" spans="1:8" ht="13.8" x14ac:dyDescent="0.25">
      <c r="A98" s="423" t="s">
        <v>1333</v>
      </c>
      <c r="B98" s="942"/>
      <c r="C98" s="945" t="s">
        <v>310</v>
      </c>
      <c r="D98" s="946"/>
      <c r="E98" s="907"/>
      <c r="F98" s="908"/>
      <c r="G98" s="909"/>
      <c r="H98" s="905"/>
    </row>
    <row r="99" spans="1:8" s="27" customFormat="1" ht="26.4" x14ac:dyDescent="0.25">
      <c r="A99" s="423" t="s">
        <v>696</v>
      </c>
      <c r="B99" s="109">
        <v>460131113</v>
      </c>
      <c r="C99" s="27" t="s">
        <v>2411</v>
      </c>
      <c r="D99" s="14" t="s">
        <v>2</v>
      </c>
      <c r="E99" s="137">
        <f>SUM(E100:E101)</f>
        <v>12.555</v>
      </c>
      <c r="F99" s="16"/>
      <c r="G99" s="12">
        <f>E99*F99</f>
        <v>0</v>
      </c>
    </row>
    <row r="100" spans="1:8" s="27" customFormat="1" ht="13.8" x14ac:dyDescent="0.25">
      <c r="A100" s="423" t="s">
        <v>1348</v>
      </c>
      <c r="B100" s="109"/>
      <c r="C100" s="27" t="s">
        <v>365</v>
      </c>
      <c r="D100" s="784" t="s">
        <v>2</v>
      </c>
      <c r="E100" s="137">
        <f>0.9*0.9*1.7*7</f>
        <v>9.6389999999999993</v>
      </c>
      <c r="F100" s="16"/>
      <c r="G100" s="12"/>
    </row>
    <row r="101" spans="1:8" s="27" customFormat="1" ht="13.8" x14ac:dyDescent="0.25">
      <c r="A101" s="423" t="s">
        <v>1353</v>
      </c>
      <c r="B101" s="109"/>
      <c r="C101" s="27" t="s">
        <v>366</v>
      </c>
      <c r="D101" s="784" t="s">
        <v>2</v>
      </c>
      <c r="E101" s="137">
        <f>0.9*0.9*1.2*3</f>
        <v>2.9159999999999999</v>
      </c>
      <c r="F101" s="16"/>
      <c r="G101" s="12"/>
    </row>
    <row r="102" spans="1:8" s="27" customFormat="1" ht="13.8" x14ac:dyDescent="0.25">
      <c r="A102" s="423" t="s">
        <v>1358</v>
      </c>
      <c r="B102" s="109">
        <v>460281113</v>
      </c>
      <c r="C102" s="27" t="s">
        <v>364</v>
      </c>
      <c r="D102" s="475" t="s">
        <v>15</v>
      </c>
      <c r="E102" s="21">
        <f>(0.9*4*1.7)*7+(0.9*4*1.2)*3</f>
        <v>55.800000000000004</v>
      </c>
      <c r="F102" s="16"/>
      <c r="G102" s="12">
        <f>E102*F102</f>
        <v>0</v>
      </c>
    </row>
    <row r="103" spans="1:8" s="27" customFormat="1" ht="13.8" x14ac:dyDescent="0.25">
      <c r="A103" s="423" t="s">
        <v>1363</v>
      </c>
      <c r="B103" s="109"/>
      <c r="C103" s="27" t="s">
        <v>367</v>
      </c>
      <c r="D103" s="14"/>
      <c r="E103" s="137"/>
      <c r="F103" s="16"/>
      <c r="G103" s="12"/>
    </row>
    <row r="104" spans="1:8" s="27" customFormat="1" ht="13.8" x14ac:dyDescent="0.25">
      <c r="A104" s="423" t="s">
        <v>1367</v>
      </c>
      <c r="B104" s="109">
        <v>460281123</v>
      </c>
      <c r="C104" s="27" t="s">
        <v>368</v>
      </c>
      <c r="D104" s="14" t="s">
        <v>15</v>
      </c>
      <c r="E104" s="137">
        <f>E102</f>
        <v>55.800000000000004</v>
      </c>
      <c r="F104" s="16"/>
      <c r="G104" s="12">
        <f>E104*F104</f>
        <v>0</v>
      </c>
    </row>
    <row r="105" spans="1:8" s="27" customFormat="1" ht="13.8" x14ac:dyDescent="0.25">
      <c r="A105" s="423" t="s">
        <v>1375</v>
      </c>
      <c r="B105" s="109">
        <v>460281114</v>
      </c>
      <c r="C105" s="27" t="s">
        <v>369</v>
      </c>
      <c r="D105" s="14" t="s">
        <v>2</v>
      </c>
      <c r="E105" s="137">
        <f>E99</f>
        <v>12.555</v>
      </c>
      <c r="F105" s="16"/>
      <c r="G105" s="12">
        <f>E105*F105</f>
        <v>0</v>
      </c>
    </row>
    <row r="106" spans="1:8" s="27" customFormat="1" ht="13.8" x14ac:dyDescent="0.25">
      <c r="A106" s="423" t="s">
        <v>1381</v>
      </c>
      <c r="B106" s="109">
        <v>460281124</v>
      </c>
      <c r="C106" s="27" t="s">
        <v>354</v>
      </c>
      <c r="D106" s="14" t="s">
        <v>2</v>
      </c>
      <c r="E106" s="137">
        <f>E105</f>
        <v>12.555</v>
      </c>
      <c r="F106" s="16"/>
      <c r="G106" s="12">
        <f>E106*F106</f>
        <v>0</v>
      </c>
    </row>
    <row r="107" spans="1:8" s="27" customFormat="1" ht="13.8" x14ac:dyDescent="0.25">
      <c r="A107" s="423" t="s">
        <v>1386</v>
      </c>
      <c r="B107" s="109">
        <v>460391123</v>
      </c>
      <c r="C107" s="27" t="s">
        <v>373</v>
      </c>
      <c r="D107" s="14" t="s">
        <v>2</v>
      </c>
      <c r="E107" s="785">
        <f>SUM(E108:E110)</f>
        <v>3.7119999999999997</v>
      </c>
      <c r="F107" s="16"/>
      <c r="G107" s="12">
        <f>E107*F107</f>
        <v>0</v>
      </c>
    </row>
    <row r="108" spans="1:8" s="27" customFormat="1" ht="13.8" x14ac:dyDescent="0.25">
      <c r="A108" s="423" t="s">
        <v>1391</v>
      </c>
      <c r="B108" s="109"/>
      <c r="C108" s="27" t="s">
        <v>371</v>
      </c>
      <c r="D108" s="784" t="s">
        <v>2</v>
      </c>
      <c r="E108" s="786">
        <f>(0.9+0.8)*0.1*1.7*7</f>
        <v>2.0230000000000001</v>
      </c>
      <c r="F108" s="16"/>
      <c r="G108" s="12"/>
    </row>
    <row r="109" spans="1:8" s="27" customFormat="1" ht="13.8" x14ac:dyDescent="0.25">
      <c r="A109" s="423" t="s">
        <v>1399</v>
      </c>
      <c r="B109" s="109"/>
      <c r="C109" s="27" t="s">
        <v>370</v>
      </c>
      <c r="D109" s="784" t="s">
        <v>2</v>
      </c>
      <c r="E109" s="786">
        <f>(0.9+0.55)*0.35*1.2*1</f>
        <v>0.6090000000000001</v>
      </c>
      <c r="F109" s="16"/>
      <c r="G109" s="12"/>
    </row>
    <row r="110" spans="1:8" s="27" customFormat="1" ht="13.8" x14ac:dyDescent="0.25">
      <c r="A110" s="423" t="s">
        <v>1404</v>
      </c>
      <c r="B110" s="109"/>
      <c r="C110" s="27" t="s">
        <v>372</v>
      </c>
      <c r="D110" s="784" t="s">
        <v>2</v>
      </c>
      <c r="E110" s="786">
        <f>(0.9+0.6)*0.3*1.2*2</f>
        <v>1.0799999999999998</v>
      </c>
      <c r="F110" s="16"/>
      <c r="G110" s="12"/>
    </row>
    <row r="111" spans="1:8" ht="39.6" x14ac:dyDescent="0.25">
      <c r="A111" s="423" t="s">
        <v>1409</v>
      </c>
      <c r="B111" s="447" t="s">
        <v>186</v>
      </c>
      <c r="C111" s="21" t="s">
        <v>2412</v>
      </c>
      <c r="D111" s="14" t="s">
        <v>26</v>
      </c>
      <c r="E111" s="137">
        <v>7</v>
      </c>
      <c r="F111" s="16"/>
      <c r="G111" s="12">
        <f>E111*F111</f>
        <v>0</v>
      </c>
    </row>
    <row r="112" spans="1:8" ht="39.6" x14ac:dyDescent="0.25">
      <c r="A112" s="423" t="s">
        <v>1414</v>
      </c>
      <c r="B112" s="447" t="s">
        <v>186</v>
      </c>
      <c r="C112" s="21" t="s">
        <v>2413</v>
      </c>
      <c r="D112" s="14" t="s">
        <v>26</v>
      </c>
      <c r="E112" s="137">
        <v>1</v>
      </c>
      <c r="F112" s="16"/>
      <c r="G112" s="12">
        <f>E112*F112</f>
        <v>0</v>
      </c>
    </row>
    <row r="113" spans="1:17" ht="39.6" x14ac:dyDescent="0.25">
      <c r="A113" s="423" t="s">
        <v>1419</v>
      </c>
      <c r="B113" s="447" t="s">
        <v>186</v>
      </c>
      <c r="C113" s="21" t="s">
        <v>2414</v>
      </c>
      <c r="D113" s="14" t="s">
        <v>26</v>
      </c>
      <c r="E113" s="137">
        <v>2</v>
      </c>
      <c r="F113" s="16"/>
      <c r="G113" s="12">
        <f t="shared" ref="G113:G119" si="4">E113*F113</f>
        <v>0</v>
      </c>
    </row>
    <row r="114" spans="1:17" ht="13.8" x14ac:dyDescent="0.25">
      <c r="A114" s="423" t="s">
        <v>1424</v>
      </c>
      <c r="B114" s="447" t="s">
        <v>374</v>
      </c>
      <c r="C114" s="133" t="s">
        <v>375</v>
      </c>
      <c r="D114" s="14" t="s">
        <v>26</v>
      </c>
      <c r="E114" s="137">
        <v>10</v>
      </c>
      <c r="F114" s="16"/>
      <c r="G114" s="12">
        <f t="shared" si="4"/>
        <v>0</v>
      </c>
    </row>
    <row r="115" spans="1:17" s="791" customFormat="1" ht="14.4" x14ac:dyDescent="0.25">
      <c r="A115" s="423" t="s">
        <v>1433</v>
      </c>
      <c r="B115" s="156">
        <v>41121867</v>
      </c>
      <c r="C115" s="21" t="s">
        <v>385</v>
      </c>
      <c r="D115" s="787" t="s">
        <v>28</v>
      </c>
      <c r="E115" s="788">
        <v>84</v>
      </c>
      <c r="F115" s="789"/>
      <c r="G115" s="788">
        <f t="shared" si="4"/>
        <v>0</v>
      </c>
      <c r="H115" s="790"/>
      <c r="J115" s="788"/>
      <c r="K115" s="788"/>
      <c r="L115" s="792"/>
      <c r="M115" s="788"/>
      <c r="O115" s="793"/>
      <c r="P115" s="788"/>
      <c r="Q115" s="792"/>
    </row>
    <row r="116" spans="1:17" s="791" customFormat="1" ht="14.4" x14ac:dyDescent="0.25">
      <c r="A116" s="423" t="s">
        <v>1438</v>
      </c>
      <c r="B116" s="897"/>
      <c r="C116" s="898" t="s">
        <v>2634</v>
      </c>
      <c r="D116" s="899"/>
      <c r="E116" s="900"/>
      <c r="F116" s="901"/>
      <c r="G116" s="902"/>
      <c r="H116" s="903"/>
      <c r="J116" s="788"/>
      <c r="K116" s="788"/>
      <c r="L116" s="792"/>
      <c r="M116" s="788"/>
      <c r="O116" s="793"/>
      <c r="P116" s="788"/>
      <c r="Q116" s="792"/>
    </row>
    <row r="117" spans="1:17" x14ac:dyDescent="0.25">
      <c r="A117" s="423" t="s">
        <v>1443</v>
      </c>
      <c r="B117" s="156" t="s">
        <v>360</v>
      </c>
      <c r="C117" s="116" t="s">
        <v>227</v>
      </c>
      <c r="D117" s="106" t="s">
        <v>358</v>
      </c>
      <c r="E117" s="421">
        <v>32</v>
      </c>
      <c r="F117" s="107"/>
      <c r="G117" s="115">
        <f t="shared" si="4"/>
        <v>0</v>
      </c>
    </row>
    <row r="118" spans="1:17" s="515" customFormat="1" ht="15" x14ac:dyDescent="0.25">
      <c r="A118" s="423" t="s">
        <v>1448</v>
      </c>
      <c r="B118" s="109"/>
      <c r="C118" s="435" t="s">
        <v>662</v>
      </c>
      <c r="D118" s="464" t="s">
        <v>26</v>
      </c>
      <c r="E118" s="474">
        <v>1</v>
      </c>
      <c r="F118" s="642"/>
      <c r="G118" s="465">
        <f t="shared" si="4"/>
        <v>0</v>
      </c>
      <c r="H118" s="422"/>
    </row>
    <row r="119" spans="1:17" x14ac:dyDescent="0.25">
      <c r="A119" s="423" t="s">
        <v>1453</v>
      </c>
      <c r="C119" s="21" t="s">
        <v>669</v>
      </c>
      <c r="D119" s="13" t="s">
        <v>26</v>
      </c>
      <c r="E119" s="21">
        <v>1</v>
      </c>
      <c r="G119" s="448">
        <f t="shared" si="4"/>
        <v>0</v>
      </c>
    </row>
    <row r="120" spans="1:17" x14ac:dyDescent="0.25">
      <c r="A120" s="423"/>
    </row>
    <row r="121" spans="1:17" x14ac:dyDescent="0.25">
      <c r="A121" s="423"/>
    </row>
    <row r="122" spans="1:17" x14ac:dyDescent="0.25">
      <c r="A122" s="423"/>
    </row>
    <row r="123" spans="1:17" x14ac:dyDescent="0.25">
      <c r="A123" s="423"/>
    </row>
    <row r="124" spans="1:17" x14ac:dyDescent="0.25">
      <c r="A124" s="423"/>
    </row>
    <row r="125" spans="1:17" x14ac:dyDescent="0.25">
      <c r="A125" s="423"/>
    </row>
    <row r="126" spans="1:17" x14ac:dyDescent="0.25">
      <c r="A126" s="423"/>
    </row>
  </sheetData>
  <phoneticPr fontId="12" type="noConversion"/>
  <printOptions gridLines="1"/>
  <pageMargins left="0.47244094488188981" right="0.47244094488188981" top="0.59055118110236227" bottom="0.59055118110236227" header="0.31496062992125984" footer="0.31496062992125984"/>
  <pageSetup paperSize="9" scale="70" fitToHeight="100" orientation="portrait" r:id="rId1"/>
  <headerFooter>
    <oddFoote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Q141"/>
  <sheetViews>
    <sheetView topLeftCell="A36" workbookViewId="0">
      <selection activeCell="F45" sqref="F45:F141"/>
    </sheetView>
  </sheetViews>
  <sheetFormatPr defaultRowHeight="13.2" x14ac:dyDescent="0.25"/>
  <cols>
    <col min="1" max="1" width="5.6640625" style="18" customWidth="1"/>
    <col min="2" max="2" width="13.5546875" style="816" bestFit="1" customWidth="1"/>
    <col min="3" max="3" width="72.33203125" style="10" customWidth="1"/>
    <col min="4" max="4" width="4.5546875" style="18" customWidth="1"/>
    <col min="5" max="5" width="7.33203125" style="10" customWidth="1"/>
    <col min="6" max="6" width="8.88671875" style="440"/>
    <col min="7" max="7" width="10.109375" style="92" customWidth="1"/>
    <col min="8" max="8" width="6.33203125" style="29" customWidth="1"/>
    <col min="9" max="16384" width="8.88671875" style="10"/>
  </cols>
  <sheetData>
    <row r="1" spans="1:7" ht="13.8" x14ac:dyDescent="0.25">
      <c r="A1" s="794"/>
      <c r="B1" s="439"/>
      <c r="C1" s="590" t="s">
        <v>95</v>
      </c>
      <c r="E1" s="424"/>
      <c r="F1" s="795"/>
      <c r="G1" s="796"/>
    </row>
    <row r="2" spans="1:7" x14ac:dyDescent="0.25">
      <c r="A2" s="794"/>
      <c r="B2" s="439"/>
      <c r="C2" s="18" t="s">
        <v>96</v>
      </c>
      <c r="E2" s="424"/>
      <c r="F2" s="795"/>
      <c r="G2" s="796"/>
    </row>
    <row r="3" spans="1:7" x14ac:dyDescent="0.25">
      <c r="A3" s="794"/>
      <c r="B3" s="439"/>
      <c r="C3" s="18" t="s">
        <v>97</v>
      </c>
      <c r="E3" s="424"/>
      <c r="F3" s="795"/>
      <c r="G3" s="796"/>
    </row>
    <row r="4" spans="1:7" x14ac:dyDescent="0.25">
      <c r="A4" s="794"/>
      <c r="B4" s="439"/>
      <c r="C4" s="18"/>
      <c r="E4" s="424"/>
      <c r="F4" s="795"/>
      <c r="G4" s="796"/>
    </row>
    <row r="5" spans="1:7" x14ac:dyDescent="0.25">
      <c r="A5" s="794"/>
      <c r="B5" s="439"/>
      <c r="C5" s="18"/>
      <c r="E5" s="424"/>
      <c r="F5" s="795"/>
      <c r="G5" s="796"/>
    </row>
    <row r="6" spans="1:7" x14ac:dyDescent="0.25">
      <c r="A6" s="794"/>
      <c r="B6" s="439"/>
      <c r="C6" s="18" t="s">
        <v>98</v>
      </c>
      <c r="E6" s="424"/>
      <c r="F6" s="795"/>
      <c r="G6" s="796"/>
    </row>
    <row r="7" spans="1:7" ht="13.8" x14ac:dyDescent="0.25">
      <c r="A7" s="794"/>
      <c r="B7" s="439"/>
      <c r="C7" s="590" t="s">
        <v>311</v>
      </c>
      <c r="E7" s="424"/>
      <c r="F7" s="795"/>
      <c r="G7" s="796"/>
    </row>
    <row r="8" spans="1:7" x14ac:dyDescent="0.25">
      <c r="A8" s="794"/>
      <c r="B8" s="439"/>
      <c r="C8" s="18"/>
      <c r="E8" s="424"/>
      <c r="F8" s="795"/>
      <c r="G8" s="796"/>
    </row>
    <row r="9" spans="1:7" x14ac:dyDescent="0.25">
      <c r="A9" s="794"/>
      <c r="B9" s="439"/>
      <c r="C9" s="18"/>
      <c r="E9" s="424"/>
      <c r="F9" s="795"/>
      <c r="G9" s="796"/>
    </row>
    <row r="10" spans="1:7" x14ac:dyDescent="0.25">
      <c r="A10" s="794"/>
      <c r="B10" s="439"/>
      <c r="C10" s="18"/>
      <c r="E10" s="424"/>
      <c r="F10" s="795"/>
      <c r="G10" s="796"/>
    </row>
    <row r="11" spans="1:7" x14ac:dyDescent="0.25">
      <c r="A11" s="794" t="s">
        <v>99</v>
      </c>
      <c r="B11" s="439"/>
      <c r="C11" s="18" t="s">
        <v>100</v>
      </c>
      <c r="E11" s="424"/>
      <c r="F11" s="795"/>
      <c r="G11" s="796"/>
    </row>
    <row r="12" spans="1:7" ht="13.8" x14ac:dyDescent="0.25">
      <c r="A12" s="794" t="s">
        <v>101</v>
      </c>
      <c r="B12" s="439"/>
      <c r="C12" s="590" t="s">
        <v>311</v>
      </c>
      <c r="D12" s="18" t="s">
        <v>71</v>
      </c>
      <c r="E12" s="424"/>
      <c r="F12" s="795"/>
      <c r="G12" s="798">
        <f>SUM(G43:G141)</f>
        <v>0</v>
      </c>
    </row>
    <row r="13" spans="1:7" x14ac:dyDescent="0.25">
      <c r="A13" s="794" t="s">
        <v>102</v>
      </c>
      <c r="B13" s="439"/>
      <c r="C13" s="18"/>
      <c r="E13" s="424"/>
      <c r="F13" s="795"/>
      <c r="G13" s="451"/>
    </row>
    <row r="14" spans="1:7" x14ac:dyDescent="0.25">
      <c r="A14" s="794" t="s">
        <v>103</v>
      </c>
      <c r="B14" s="439"/>
      <c r="C14" s="18" t="s">
        <v>104</v>
      </c>
      <c r="D14" s="18" t="s">
        <v>71</v>
      </c>
      <c r="E14" s="424"/>
      <c r="F14" s="795"/>
      <c r="G14" s="798">
        <f>SUM(G12:G13)</f>
        <v>0</v>
      </c>
    </row>
    <row r="15" spans="1:7" x14ac:dyDescent="0.25">
      <c r="A15" s="794" t="s">
        <v>105</v>
      </c>
      <c r="B15" s="439"/>
      <c r="C15" s="18" t="s">
        <v>2543</v>
      </c>
      <c r="D15" s="18" t="s">
        <v>71</v>
      </c>
      <c r="E15" s="424">
        <v>0.03</v>
      </c>
      <c r="F15" s="795"/>
      <c r="G15" s="451">
        <f>G14*E15</f>
        <v>0</v>
      </c>
    </row>
    <row r="16" spans="1:7" x14ac:dyDescent="0.25">
      <c r="A16" s="794" t="s">
        <v>107</v>
      </c>
      <c r="B16" s="439"/>
      <c r="C16" s="18" t="s">
        <v>108</v>
      </c>
      <c r="D16" s="18" t="s">
        <v>71</v>
      </c>
      <c r="E16" s="424"/>
      <c r="F16" s="795"/>
      <c r="G16" s="798">
        <f>SUM(G14:G15)</f>
        <v>0</v>
      </c>
    </row>
    <row r="17" spans="1:17" x14ac:dyDescent="0.25">
      <c r="A17" s="794" t="s">
        <v>109</v>
      </c>
      <c r="B17" s="439"/>
      <c r="C17" s="18" t="s">
        <v>110</v>
      </c>
      <c r="D17" s="18" t="s">
        <v>71</v>
      </c>
      <c r="E17" s="424">
        <v>0.21</v>
      </c>
      <c r="F17" s="795"/>
      <c r="G17" s="451">
        <f>G16*E17</f>
        <v>0</v>
      </c>
    </row>
    <row r="18" spans="1:17" x14ac:dyDescent="0.25">
      <c r="A18" s="794" t="s">
        <v>111</v>
      </c>
      <c r="B18" s="439"/>
      <c r="C18" s="18"/>
      <c r="E18" s="424"/>
      <c r="F18" s="795"/>
      <c r="G18" s="451"/>
    </row>
    <row r="19" spans="1:17" x14ac:dyDescent="0.25">
      <c r="A19" s="794" t="s">
        <v>112</v>
      </c>
      <c r="B19" s="439"/>
      <c r="C19" s="18" t="s">
        <v>113</v>
      </c>
      <c r="D19" s="18" t="s">
        <v>71</v>
      </c>
      <c r="E19" s="424"/>
      <c r="F19" s="795"/>
      <c r="G19" s="798">
        <f>SUM(G16:G17)</f>
        <v>0</v>
      </c>
    </row>
    <row r="20" spans="1:17" x14ac:dyDescent="0.25">
      <c r="A20" s="794" t="s">
        <v>928</v>
      </c>
      <c r="B20" s="439"/>
      <c r="C20" s="24"/>
      <c r="E20" s="424"/>
      <c r="F20" s="795"/>
      <c r="G20" s="797"/>
    </row>
    <row r="21" spans="1:17" x14ac:dyDescent="0.25">
      <c r="A21" s="794" t="s">
        <v>934</v>
      </c>
      <c r="B21" s="439"/>
      <c r="C21" s="24"/>
      <c r="E21" s="424"/>
      <c r="F21" s="795"/>
      <c r="G21" s="796"/>
    </row>
    <row r="22" spans="1:17" s="9" customFormat="1" ht="34.5" customHeight="1" x14ac:dyDescent="0.25">
      <c r="A22" s="799" t="s">
        <v>114</v>
      </c>
      <c r="B22" s="518" t="s">
        <v>432</v>
      </c>
      <c r="C22" s="519" t="s">
        <v>115</v>
      </c>
      <c r="D22" s="519" t="s">
        <v>116</v>
      </c>
      <c r="E22" s="454" t="s">
        <v>117</v>
      </c>
      <c r="F22" s="800" t="s">
        <v>118</v>
      </c>
      <c r="G22" s="450" t="s">
        <v>119</v>
      </c>
      <c r="H22" s="600" t="s">
        <v>607</v>
      </c>
      <c r="I22" s="6"/>
      <c r="L22" s="539"/>
      <c r="M22" s="540"/>
      <c r="O22" s="541"/>
      <c r="P22" s="540"/>
      <c r="Q22" s="542"/>
    </row>
    <row r="23" spans="1:17" x14ac:dyDescent="0.25">
      <c r="A23" s="794" t="s">
        <v>123</v>
      </c>
      <c r="B23" s="418"/>
      <c r="C23" s="24" t="s">
        <v>142</v>
      </c>
      <c r="E23" s="424"/>
      <c r="F23" s="795"/>
      <c r="G23" s="796"/>
    </row>
    <row r="24" spans="1:17" x14ac:dyDescent="0.25">
      <c r="A24" s="794" t="s">
        <v>948</v>
      </c>
      <c r="B24" s="418"/>
      <c r="C24" s="24" t="s">
        <v>143</v>
      </c>
      <c r="E24" s="424"/>
      <c r="F24" s="795"/>
      <c r="G24" s="796"/>
    </row>
    <row r="25" spans="1:17" ht="79.2" x14ac:dyDescent="0.25">
      <c r="A25" s="794" t="s">
        <v>967</v>
      </c>
      <c r="B25" s="418"/>
      <c r="C25" s="24" t="s">
        <v>144</v>
      </c>
      <c r="E25" s="424"/>
      <c r="F25" s="795"/>
      <c r="G25" s="796"/>
    </row>
    <row r="26" spans="1:17" ht="26.4" x14ac:dyDescent="0.25">
      <c r="A26" s="794" t="s">
        <v>974</v>
      </c>
      <c r="B26" s="418"/>
      <c r="C26" s="10" t="s">
        <v>2360</v>
      </c>
      <c r="E26" s="424"/>
      <c r="F26" s="795"/>
      <c r="G26" s="796"/>
    </row>
    <row r="27" spans="1:17" x14ac:dyDescent="0.25">
      <c r="A27" s="794" t="s">
        <v>980</v>
      </c>
      <c r="B27" s="418"/>
      <c r="C27" s="24" t="s">
        <v>145</v>
      </c>
      <c r="E27" s="424"/>
      <c r="F27" s="795"/>
      <c r="G27" s="796"/>
    </row>
    <row r="28" spans="1:17" ht="52.8" x14ac:dyDescent="0.25">
      <c r="A28" s="794" t="s">
        <v>990</v>
      </c>
      <c r="B28" s="418"/>
      <c r="C28" s="27" t="s">
        <v>146</v>
      </c>
      <c r="E28" s="424"/>
      <c r="F28" s="795"/>
      <c r="G28" s="796"/>
    </row>
    <row r="29" spans="1:17" x14ac:dyDescent="0.25">
      <c r="A29" s="794" t="s">
        <v>996</v>
      </c>
      <c r="B29" s="418"/>
      <c r="C29" s="24" t="s">
        <v>147</v>
      </c>
      <c r="E29" s="424"/>
      <c r="F29" s="795"/>
      <c r="G29" s="796"/>
    </row>
    <row r="30" spans="1:17" ht="26.4" x14ac:dyDescent="0.25">
      <c r="A30" s="794" t="s">
        <v>1002</v>
      </c>
      <c r="B30" s="418"/>
      <c r="C30" s="24" t="s">
        <v>148</v>
      </c>
      <c r="E30" s="424"/>
      <c r="F30" s="795"/>
      <c r="G30" s="796"/>
    </row>
    <row r="31" spans="1:17" ht="39.6" x14ac:dyDescent="0.25">
      <c r="A31" s="794" t="s">
        <v>1008</v>
      </c>
      <c r="B31" s="418"/>
      <c r="C31" s="10" t="s">
        <v>431</v>
      </c>
      <c r="E31" s="424"/>
      <c r="F31" s="795"/>
      <c r="G31" s="796"/>
    </row>
    <row r="32" spans="1:17" x14ac:dyDescent="0.25">
      <c r="A32" s="794" t="s">
        <v>1012</v>
      </c>
      <c r="B32" s="418"/>
      <c r="C32" s="24" t="s">
        <v>150</v>
      </c>
      <c r="E32" s="424"/>
      <c r="F32" s="795"/>
      <c r="G32" s="796"/>
    </row>
    <row r="33" spans="1:8" x14ac:dyDescent="0.25">
      <c r="A33" s="794" t="s">
        <v>1018</v>
      </c>
      <c r="B33" s="418"/>
      <c r="C33" s="24" t="s">
        <v>151</v>
      </c>
      <c r="E33" s="424"/>
      <c r="F33" s="795"/>
      <c r="G33" s="796"/>
    </row>
    <row r="34" spans="1:8" x14ac:dyDescent="0.25">
      <c r="A34" s="794" t="s">
        <v>1022</v>
      </c>
      <c r="B34" s="418"/>
      <c r="C34" s="10" t="s">
        <v>2358</v>
      </c>
      <c r="E34" s="424"/>
      <c r="F34" s="795"/>
      <c r="G34" s="796"/>
    </row>
    <row r="35" spans="1:8" ht="26.4" x14ac:dyDescent="0.25">
      <c r="A35" s="794" t="s">
        <v>1026</v>
      </c>
      <c r="B35" s="418"/>
      <c r="C35" s="24" t="s">
        <v>152</v>
      </c>
      <c r="E35" s="424"/>
      <c r="F35" s="795"/>
      <c r="G35" s="796"/>
    </row>
    <row r="36" spans="1:8" ht="26.4" x14ac:dyDescent="0.25">
      <c r="A36" s="794" t="s">
        <v>1030</v>
      </c>
      <c r="B36" s="418"/>
      <c r="C36" s="24" t="s">
        <v>153</v>
      </c>
      <c r="E36" s="424"/>
      <c r="F36" s="795"/>
      <c r="G36" s="796"/>
    </row>
    <row r="37" spans="1:8" x14ac:dyDescent="0.25">
      <c r="A37" s="794" t="s">
        <v>1034</v>
      </c>
      <c r="B37" s="418"/>
      <c r="C37" s="24" t="s">
        <v>154</v>
      </c>
      <c r="E37" s="424"/>
      <c r="F37" s="795"/>
      <c r="G37" s="796"/>
    </row>
    <row r="38" spans="1:8" x14ac:dyDescent="0.25">
      <c r="A38" s="794" t="s">
        <v>1038</v>
      </c>
      <c r="B38" s="418"/>
      <c r="C38" s="10" t="s">
        <v>2359</v>
      </c>
      <c r="E38" s="424"/>
      <c r="F38" s="795"/>
      <c r="G38" s="796"/>
    </row>
    <row r="39" spans="1:8" ht="26.4" x14ac:dyDescent="0.25">
      <c r="A39" s="794" t="s">
        <v>1042</v>
      </c>
      <c r="B39" s="418"/>
      <c r="C39" s="10" t="s">
        <v>2361</v>
      </c>
      <c r="E39" s="424"/>
      <c r="F39" s="795"/>
      <c r="G39" s="796"/>
    </row>
    <row r="40" spans="1:8" ht="52.8" x14ac:dyDescent="0.25">
      <c r="A40" s="794" t="s">
        <v>1046</v>
      </c>
      <c r="B40" s="418"/>
      <c r="C40" s="10" t="s">
        <v>2181</v>
      </c>
      <c r="E40" s="424"/>
      <c r="F40" s="795"/>
      <c r="G40" s="796"/>
    </row>
    <row r="41" spans="1:8" x14ac:dyDescent="0.25">
      <c r="A41" s="794" t="s">
        <v>1050</v>
      </c>
      <c r="B41" s="418"/>
      <c r="C41" s="24" t="s">
        <v>2179</v>
      </c>
      <c r="E41" s="424"/>
      <c r="F41" s="795"/>
      <c r="G41" s="796"/>
    </row>
    <row r="42" spans="1:8" x14ac:dyDescent="0.25">
      <c r="A42" s="794" t="s">
        <v>1054</v>
      </c>
      <c r="B42" s="418"/>
      <c r="C42" s="24" t="s">
        <v>2355</v>
      </c>
      <c r="E42" s="424"/>
      <c r="F42" s="795"/>
      <c r="G42" s="796"/>
    </row>
    <row r="43" spans="1:8" x14ac:dyDescent="0.25">
      <c r="A43" s="794" t="s">
        <v>1058</v>
      </c>
      <c r="B43" s="947"/>
      <c r="C43" s="948" t="s">
        <v>312</v>
      </c>
      <c r="D43" s="949"/>
      <c r="E43" s="950"/>
      <c r="F43" s="951"/>
      <c r="G43" s="952"/>
      <c r="H43" s="953"/>
    </row>
    <row r="44" spans="1:8" x14ac:dyDescent="0.25">
      <c r="A44" s="794" t="s">
        <v>1062</v>
      </c>
      <c r="B44" s="418"/>
      <c r="C44" s="20" t="s">
        <v>313</v>
      </c>
      <c r="E44" s="424"/>
      <c r="F44" s="795"/>
      <c r="G44" s="796"/>
    </row>
    <row r="45" spans="1:8" ht="26.4" x14ac:dyDescent="0.25">
      <c r="A45" s="794" t="s">
        <v>1066</v>
      </c>
      <c r="B45" s="418"/>
      <c r="C45" s="10" t="s">
        <v>314</v>
      </c>
      <c r="D45" s="18" t="s">
        <v>26</v>
      </c>
      <c r="E45" s="424">
        <v>1</v>
      </c>
      <c r="F45" s="795"/>
      <c r="G45" s="92">
        <f>E45*F45</f>
        <v>0</v>
      </c>
    </row>
    <row r="46" spans="1:8" x14ac:dyDescent="0.25">
      <c r="A46" s="794" t="s">
        <v>1070</v>
      </c>
      <c r="B46" s="418"/>
      <c r="C46" s="20" t="s">
        <v>315</v>
      </c>
      <c r="E46" s="424"/>
      <c r="F46" s="795"/>
      <c r="G46" s="796"/>
    </row>
    <row r="47" spans="1:8" x14ac:dyDescent="0.25">
      <c r="A47" s="794" t="s">
        <v>1075</v>
      </c>
      <c r="B47" s="418"/>
      <c r="C47" s="20" t="s">
        <v>316</v>
      </c>
      <c r="E47" s="424"/>
      <c r="F47" s="795"/>
      <c r="G47" s="796"/>
    </row>
    <row r="48" spans="1:8" x14ac:dyDescent="0.25">
      <c r="A48" s="794" t="s">
        <v>1079</v>
      </c>
      <c r="B48" s="418"/>
      <c r="C48" s="10" t="s">
        <v>317</v>
      </c>
      <c r="D48" s="18" t="s">
        <v>28</v>
      </c>
      <c r="E48" s="424">
        <v>3</v>
      </c>
      <c r="F48" s="795"/>
      <c r="G48" s="92">
        <f>E48*F48</f>
        <v>0</v>
      </c>
    </row>
    <row r="49" spans="1:8" x14ac:dyDescent="0.25">
      <c r="A49" s="794" t="s">
        <v>1083</v>
      </c>
      <c r="B49" s="418"/>
      <c r="C49" s="20" t="s">
        <v>318</v>
      </c>
      <c r="E49" s="424"/>
      <c r="F49" s="795"/>
      <c r="G49" s="796"/>
    </row>
    <row r="50" spans="1:8" x14ac:dyDescent="0.25">
      <c r="A50" s="794" t="s">
        <v>1087</v>
      </c>
      <c r="B50" s="418"/>
      <c r="C50" s="10" t="s">
        <v>319</v>
      </c>
      <c r="D50" s="18" t="s">
        <v>26</v>
      </c>
      <c r="E50" s="424">
        <v>2</v>
      </c>
      <c r="F50" s="795"/>
      <c r="G50" s="92">
        <f>E50*F50</f>
        <v>0</v>
      </c>
    </row>
    <row r="51" spans="1:8" x14ac:dyDescent="0.25">
      <c r="A51" s="794" t="s">
        <v>1092</v>
      </c>
      <c r="B51" s="418"/>
      <c r="C51" s="20" t="s">
        <v>320</v>
      </c>
      <c r="E51" s="424"/>
      <c r="F51" s="795"/>
      <c r="G51" s="796"/>
    </row>
    <row r="52" spans="1:8" x14ac:dyDescent="0.25">
      <c r="A52" s="794" t="s">
        <v>1097</v>
      </c>
      <c r="B52" s="418"/>
      <c r="C52" s="10" t="s">
        <v>307</v>
      </c>
      <c r="D52" s="18" t="s">
        <v>308</v>
      </c>
      <c r="E52" s="424">
        <v>1</v>
      </c>
      <c r="F52" s="795"/>
      <c r="G52" s="92">
        <f>E52*F52</f>
        <v>0</v>
      </c>
    </row>
    <row r="53" spans="1:8" x14ac:dyDescent="0.25">
      <c r="A53" s="794" t="s">
        <v>1102</v>
      </c>
      <c r="B53" s="958"/>
      <c r="C53" s="948" t="s">
        <v>321</v>
      </c>
      <c r="D53" s="949"/>
      <c r="E53" s="954"/>
      <c r="F53" s="959"/>
      <c r="G53" s="960"/>
      <c r="H53" s="953"/>
    </row>
    <row r="54" spans="1:8" x14ac:dyDescent="0.25">
      <c r="A54" s="794" t="s">
        <v>1106</v>
      </c>
      <c r="B54" s="801"/>
      <c r="C54" s="20" t="s">
        <v>313</v>
      </c>
    </row>
    <row r="55" spans="1:8" ht="26.4" x14ac:dyDescent="0.25">
      <c r="A55" s="794" t="s">
        <v>1111</v>
      </c>
      <c r="B55" s="801" t="s">
        <v>285</v>
      </c>
      <c r="C55" s="10" t="s">
        <v>322</v>
      </c>
      <c r="D55" s="18" t="s">
        <v>26</v>
      </c>
      <c r="E55" s="10">
        <v>1</v>
      </c>
      <c r="G55" s="92">
        <f>E55*F55</f>
        <v>0</v>
      </c>
    </row>
    <row r="56" spans="1:8" ht="26.4" x14ac:dyDescent="0.25">
      <c r="A56" s="794" t="s">
        <v>1116</v>
      </c>
      <c r="B56" s="801" t="s">
        <v>285</v>
      </c>
      <c r="C56" s="10" t="s">
        <v>323</v>
      </c>
      <c r="D56" s="18" t="s">
        <v>26</v>
      </c>
      <c r="E56" s="10">
        <v>1</v>
      </c>
      <c r="G56" s="92">
        <f>E56*F56</f>
        <v>0</v>
      </c>
    </row>
    <row r="57" spans="1:8" x14ac:dyDescent="0.25">
      <c r="A57" s="794" t="s">
        <v>1121</v>
      </c>
      <c r="B57" s="801"/>
      <c r="C57" s="37" t="s">
        <v>315</v>
      </c>
    </row>
    <row r="58" spans="1:8" x14ac:dyDescent="0.25">
      <c r="A58" s="794" t="s">
        <v>1125</v>
      </c>
      <c r="B58" s="801"/>
      <c r="C58" s="961" t="s">
        <v>324</v>
      </c>
    </row>
    <row r="59" spans="1:8" x14ac:dyDescent="0.25">
      <c r="A59" s="794" t="s">
        <v>1130</v>
      </c>
      <c r="B59" s="801" t="s">
        <v>285</v>
      </c>
      <c r="C59" s="10" t="s">
        <v>325</v>
      </c>
      <c r="D59" s="18" t="s">
        <v>140</v>
      </c>
      <c r="E59" s="10">
        <v>5</v>
      </c>
      <c r="G59" s="92">
        <f>E59*F59</f>
        <v>0</v>
      </c>
    </row>
    <row r="60" spans="1:8" x14ac:dyDescent="0.25">
      <c r="A60" s="794" t="s">
        <v>1134</v>
      </c>
      <c r="B60" s="801" t="s">
        <v>285</v>
      </c>
      <c r="C60" s="10" t="s">
        <v>326</v>
      </c>
      <c r="D60" s="18" t="s">
        <v>140</v>
      </c>
      <c r="E60" s="10">
        <v>80</v>
      </c>
      <c r="G60" s="92">
        <f t="shared" ref="G60:G75" si="0">E60*F60</f>
        <v>0</v>
      </c>
    </row>
    <row r="61" spans="1:8" x14ac:dyDescent="0.25">
      <c r="A61" s="794" t="s">
        <v>1139</v>
      </c>
      <c r="B61" s="801" t="s">
        <v>285</v>
      </c>
      <c r="C61" s="10" t="s">
        <v>327</v>
      </c>
      <c r="D61" s="18" t="s">
        <v>140</v>
      </c>
      <c r="E61" s="10">
        <v>25</v>
      </c>
      <c r="G61" s="92">
        <f t="shared" si="0"/>
        <v>0</v>
      </c>
    </row>
    <row r="62" spans="1:8" x14ac:dyDescent="0.25">
      <c r="A62" s="794" t="s">
        <v>1143</v>
      </c>
      <c r="B62" s="801" t="s">
        <v>285</v>
      </c>
      <c r="C62" s="10" t="s">
        <v>328</v>
      </c>
      <c r="D62" s="18" t="s">
        <v>140</v>
      </c>
      <c r="E62" s="10">
        <v>375</v>
      </c>
      <c r="G62" s="92">
        <f t="shared" si="0"/>
        <v>0</v>
      </c>
    </row>
    <row r="63" spans="1:8" x14ac:dyDescent="0.25">
      <c r="A63" s="794" t="s">
        <v>1148</v>
      </c>
      <c r="B63" s="801" t="s">
        <v>285</v>
      </c>
      <c r="C63" s="10" t="s">
        <v>329</v>
      </c>
      <c r="D63" s="18" t="s">
        <v>140</v>
      </c>
      <c r="E63" s="10">
        <v>25</v>
      </c>
      <c r="G63" s="92">
        <f t="shared" si="0"/>
        <v>0</v>
      </c>
    </row>
    <row r="64" spans="1:8" x14ac:dyDescent="0.25">
      <c r="A64" s="794" t="s">
        <v>1152</v>
      </c>
      <c r="B64" s="801" t="s">
        <v>285</v>
      </c>
      <c r="C64" s="10" t="s">
        <v>330</v>
      </c>
      <c r="D64" s="18" t="s">
        <v>140</v>
      </c>
      <c r="E64" s="10">
        <v>385</v>
      </c>
      <c r="G64" s="92">
        <f t="shared" si="0"/>
        <v>0</v>
      </c>
    </row>
    <row r="65" spans="1:8" x14ac:dyDescent="0.25">
      <c r="A65" s="794" t="s">
        <v>1157</v>
      </c>
      <c r="B65" s="801" t="s">
        <v>285</v>
      </c>
      <c r="C65" s="10" t="s">
        <v>331</v>
      </c>
      <c r="D65" s="18" t="s">
        <v>140</v>
      </c>
      <c r="E65" s="10">
        <v>130</v>
      </c>
      <c r="G65" s="92">
        <f t="shared" si="0"/>
        <v>0</v>
      </c>
    </row>
    <row r="66" spans="1:8" x14ac:dyDescent="0.25">
      <c r="A66" s="794" t="s">
        <v>1162</v>
      </c>
      <c r="B66" s="801" t="s">
        <v>285</v>
      </c>
      <c r="C66" s="10" t="s">
        <v>332</v>
      </c>
      <c r="D66" s="18" t="s">
        <v>140</v>
      </c>
      <c r="E66" s="10">
        <v>80</v>
      </c>
      <c r="G66" s="92">
        <f t="shared" si="0"/>
        <v>0</v>
      </c>
    </row>
    <row r="67" spans="1:8" x14ac:dyDescent="0.25">
      <c r="A67" s="794" t="s">
        <v>1167</v>
      </c>
      <c r="B67" s="801" t="s">
        <v>285</v>
      </c>
      <c r="C67" s="10" t="s">
        <v>333</v>
      </c>
      <c r="D67" s="18" t="s">
        <v>140</v>
      </c>
      <c r="E67" s="10">
        <v>5</v>
      </c>
      <c r="G67" s="92">
        <f t="shared" si="0"/>
        <v>0</v>
      </c>
    </row>
    <row r="68" spans="1:8" x14ac:dyDescent="0.25">
      <c r="A68" s="794" t="s">
        <v>1172</v>
      </c>
      <c r="B68" s="801" t="s">
        <v>285</v>
      </c>
      <c r="C68" s="10" t="s">
        <v>334</v>
      </c>
      <c r="D68" s="18" t="s">
        <v>140</v>
      </c>
      <c r="E68" s="10">
        <v>1350</v>
      </c>
      <c r="G68" s="92">
        <f t="shared" si="0"/>
        <v>0</v>
      </c>
    </row>
    <row r="69" spans="1:8" x14ac:dyDescent="0.25">
      <c r="A69" s="794" t="s">
        <v>1177</v>
      </c>
      <c r="B69" s="801" t="s">
        <v>285</v>
      </c>
      <c r="C69" s="10" t="s">
        <v>335</v>
      </c>
      <c r="D69" s="18" t="s">
        <v>140</v>
      </c>
      <c r="E69" s="10">
        <v>5</v>
      </c>
      <c r="G69" s="92">
        <f t="shared" si="0"/>
        <v>0</v>
      </c>
    </row>
    <row r="70" spans="1:8" x14ac:dyDescent="0.25">
      <c r="A70" s="794" t="s">
        <v>1183</v>
      </c>
      <c r="B70" s="801" t="s">
        <v>285</v>
      </c>
      <c r="C70" s="10" t="s">
        <v>336</v>
      </c>
      <c r="D70" s="18" t="s">
        <v>140</v>
      </c>
      <c r="E70" s="10">
        <v>520</v>
      </c>
      <c r="G70" s="92">
        <f t="shared" si="0"/>
        <v>0</v>
      </c>
    </row>
    <row r="71" spans="1:8" x14ac:dyDescent="0.25">
      <c r="A71" s="794" t="s">
        <v>1188</v>
      </c>
      <c r="B71" s="801" t="s">
        <v>285</v>
      </c>
      <c r="C71" s="10" t="s">
        <v>287</v>
      </c>
      <c r="D71" s="18" t="s">
        <v>140</v>
      </c>
      <c r="E71" s="10">
        <v>420</v>
      </c>
      <c r="G71" s="92">
        <f t="shared" si="0"/>
        <v>0</v>
      </c>
    </row>
    <row r="72" spans="1:8" x14ac:dyDescent="0.25">
      <c r="A72" s="794" t="s">
        <v>1193</v>
      </c>
      <c r="B72" s="801" t="s">
        <v>285</v>
      </c>
      <c r="C72" s="10" t="s">
        <v>337</v>
      </c>
      <c r="D72" s="18" t="s">
        <v>26</v>
      </c>
      <c r="E72" s="10">
        <v>25</v>
      </c>
      <c r="G72" s="92">
        <f t="shared" si="0"/>
        <v>0</v>
      </c>
    </row>
    <row r="73" spans="1:8" x14ac:dyDescent="0.25">
      <c r="A73" s="794" t="s">
        <v>1198</v>
      </c>
      <c r="B73" s="801" t="s">
        <v>285</v>
      </c>
      <c r="C73" s="10" t="s">
        <v>338</v>
      </c>
      <c r="D73" s="18" t="s">
        <v>26</v>
      </c>
      <c r="E73" s="10">
        <v>15</v>
      </c>
      <c r="G73" s="92">
        <f t="shared" si="0"/>
        <v>0</v>
      </c>
    </row>
    <row r="74" spans="1:8" x14ac:dyDescent="0.25">
      <c r="A74" s="794" t="s">
        <v>1204</v>
      </c>
      <c r="B74" s="801" t="s">
        <v>285</v>
      </c>
      <c r="C74" s="10" t="s">
        <v>339</v>
      </c>
      <c r="D74" s="18" t="s">
        <v>26</v>
      </c>
      <c r="E74" s="10">
        <v>65</v>
      </c>
      <c r="G74" s="92">
        <f t="shared" si="0"/>
        <v>0</v>
      </c>
    </row>
    <row r="75" spans="1:8" s="24" customFormat="1" x14ac:dyDescent="0.25">
      <c r="A75" s="794" t="s">
        <v>1208</v>
      </c>
      <c r="B75" s="801" t="s">
        <v>285</v>
      </c>
      <c r="C75" s="10" t="s">
        <v>292</v>
      </c>
      <c r="D75" s="18" t="s">
        <v>140</v>
      </c>
      <c r="E75" s="10">
        <v>630</v>
      </c>
      <c r="F75" s="440"/>
      <c r="G75" s="92">
        <f t="shared" si="0"/>
        <v>0</v>
      </c>
      <c r="H75" s="802"/>
    </row>
    <row r="76" spans="1:8" x14ac:dyDescent="0.25">
      <c r="A76" s="794" t="s">
        <v>1212</v>
      </c>
      <c r="B76" s="801"/>
      <c r="C76" s="961" t="s">
        <v>340</v>
      </c>
    </row>
    <row r="77" spans="1:8" x14ac:dyDescent="0.25">
      <c r="A77" s="794" t="s">
        <v>1216</v>
      </c>
      <c r="B77" s="801" t="s">
        <v>285</v>
      </c>
      <c r="C77" s="10" t="s">
        <v>341</v>
      </c>
      <c r="D77" s="18" t="s">
        <v>26</v>
      </c>
      <c r="E77" s="10">
        <v>8</v>
      </c>
      <c r="G77" s="92">
        <f t="shared" ref="G77:G83" si="1">E77*F77</f>
        <v>0</v>
      </c>
    </row>
    <row r="78" spans="1:8" x14ac:dyDescent="0.25">
      <c r="A78" s="794" t="s">
        <v>1221</v>
      </c>
      <c r="B78" s="801" t="s">
        <v>285</v>
      </c>
      <c r="C78" s="10" t="s">
        <v>342</v>
      </c>
      <c r="D78" s="18" t="s">
        <v>26</v>
      </c>
      <c r="E78" s="10">
        <v>1</v>
      </c>
      <c r="G78" s="92">
        <f t="shared" si="1"/>
        <v>0</v>
      </c>
    </row>
    <row r="79" spans="1:8" x14ac:dyDescent="0.25">
      <c r="A79" s="794" t="s">
        <v>1225</v>
      </c>
      <c r="B79" s="801" t="s">
        <v>285</v>
      </c>
      <c r="C79" s="10" t="s">
        <v>343</v>
      </c>
      <c r="D79" s="18" t="s">
        <v>26</v>
      </c>
      <c r="E79" s="10">
        <v>1</v>
      </c>
      <c r="G79" s="92">
        <f t="shared" si="1"/>
        <v>0</v>
      </c>
    </row>
    <row r="80" spans="1:8" x14ac:dyDescent="0.25">
      <c r="A80" s="794" t="s">
        <v>1230</v>
      </c>
      <c r="B80" s="801" t="s">
        <v>285</v>
      </c>
      <c r="C80" s="10" t="s">
        <v>344</v>
      </c>
      <c r="D80" s="18" t="s">
        <v>26</v>
      </c>
      <c r="E80" s="10">
        <v>1</v>
      </c>
      <c r="G80" s="92">
        <f t="shared" si="1"/>
        <v>0</v>
      </c>
    </row>
    <row r="81" spans="1:7" x14ac:dyDescent="0.25">
      <c r="A81" s="794" t="s">
        <v>1236</v>
      </c>
      <c r="B81" s="801" t="s">
        <v>285</v>
      </c>
      <c r="C81" s="10" t="s">
        <v>345</v>
      </c>
      <c r="D81" s="18" t="s">
        <v>26</v>
      </c>
      <c r="E81" s="10">
        <v>1</v>
      </c>
      <c r="G81" s="92">
        <f t="shared" si="1"/>
        <v>0</v>
      </c>
    </row>
    <row r="82" spans="1:7" x14ac:dyDescent="0.25">
      <c r="A82" s="794" t="s">
        <v>1258</v>
      </c>
      <c r="B82" s="801" t="s">
        <v>285</v>
      </c>
      <c r="C82" s="10" t="s">
        <v>346</v>
      </c>
      <c r="D82" s="18" t="s">
        <v>26</v>
      </c>
      <c r="E82" s="10">
        <v>1</v>
      </c>
      <c r="G82" s="92">
        <f t="shared" si="1"/>
        <v>0</v>
      </c>
    </row>
    <row r="83" spans="1:7" x14ac:dyDescent="0.25">
      <c r="A83" s="794" t="s">
        <v>1262</v>
      </c>
      <c r="B83" s="801" t="s">
        <v>285</v>
      </c>
      <c r="C83" s="10" t="s">
        <v>347</v>
      </c>
      <c r="D83" s="18" t="s">
        <v>26</v>
      </c>
      <c r="E83" s="10">
        <v>1</v>
      </c>
      <c r="G83" s="92">
        <f t="shared" si="1"/>
        <v>0</v>
      </c>
    </row>
    <row r="84" spans="1:7" x14ac:dyDescent="0.25">
      <c r="A84" s="794" t="s">
        <v>1266</v>
      </c>
      <c r="B84" s="801"/>
      <c r="C84" s="961" t="s">
        <v>348</v>
      </c>
    </row>
    <row r="85" spans="1:7" ht="39.6" x14ac:dyDescent="0.25">
      <c r="A85" s="794" t="s">
        <v>1270</v>
      </c>
      <c r="B85" s="801" t="s">
        <v>285</v>
      </c>
      <c r="C85" s="10" t="s">
        <v>2334</v>
      </c>
      <c r="D85" s="18" t="s">
        <v>26</v>
      </c>
      <c r="E85" s="10">
        <v>22</v>
      </c>
      <c r="F85" s="803"/>
      <c r="G85" s="92">
        <f>E85*F85</f>
        <v>0</v>
      </c>
    </row>
    <row r="86" spans="1:7" ht="39.6" x14ac:dyDescent="0.25">
      <c r="A86" s="794" t="s">
        <v>1274</v>
      </c>
      <c r="B86" s="801" t="s">
        <v>285</v>
      </c>
      <c r="C86" s="10" t="s">
        <v>2335</v>
      </c>
      <c r="D86" s="18" t="s">
        <v>26</v>
      </c>
      <c r="E86" s="10">
        <v>8</v>
      </c>
      <c r="F86" s="803"/>
      <c r="G86" s="92">
        <f>E86*F86</f>
        <v>0</v>
      </c>
    </row>
    <row r="87" spans="1:7" ht="39.6" x14ac:dyDescent="0.25">
      <c r="A87" s="794" t="s">
        <v>1278</v>
      </c>
      <c r="B87" s="801" t="s">
        <v>285</v>
      </c>
      <c r="C87" s="10" t="s">
        <v>2336</v>
      </c>
      <c r="D87" s="18" t="s">
        <v>26</v>
      </c>
      <c r="E87" s="10">
        <v>8</v>
      </c>
      <c r="F87" s="803"/>
      <c r="G87" s="92">
        <f>E87*F87</f>
        <v>0</v>
      </c>
    </row>
    <row r="88" spans="1:7" ht="39.6" x14ac:dyDescent="0.25">
      <c r="A88" s="794" t="s">
        <v>1288</v>
      </c>
      <c r="B88" s="801" t="s">
        <v>285</v>
      </c>
      <c r="C88" s="10" t="s">
        <v>2337</v>
      </c>
      <c r="D88" s="18" t="s">
        <v>26</v>
      </c>
      <c r="E88" s="10">
        <v>9</v>
      </c>
      <c r="F88" s="803"/>
      <c r="G88" s="92">
        <f>E88*F88</f>
        <v>0</v>
      </c>
    </row>
    <row r="89" spans="1:7" ht="39.6" x14ac:dyDescent="0.25">
      <c r="A89" s="794" t="s">
        <v>1292</v>
      </c>
      <c r="B89" s="801" t="s">
        <v>285</v>
      </c>
      <c r="C89" s="10" t="s">
        <v>2338</v>
      </c>
      <c r="D89" s="18" t="s">
        <v>26</v>
      </c>
      <c r="E89" s="10">
        <v>5</v>
      </c>
      <c r="F89" s="803"/>
      <c r="G89" s="92">
        <f>E89*F89</f>
        <v>0</v>
      </c>
    </row>
    <row r="90" spans="1:7" ht="26.4" x14ac:dyDescent="0.25">
      <c r="A90" s="794" t="s">
        <v>1298</v>
      </c>
      <c r="B90" s="418">
        <v>275322511</v>
      </c>
      <c r="C90" s="10" t="s">
        <v>349</v>
      </c>
      <c r="D90" s="18" t="s">
        <v>2</v>
      </c>
      <c r="E90" s="10">
        <f>0.5*0.5*0.6*17</f>
        <v>2.5499999999999998</v>
      </c>
      <c r="F90" s="804"/>
      <c r="G90" s="92">
        <f t="shared" ref="G90:G98" si="2">E90*F90</f>
        <v>0</v>
      </c>
    </row>
    <row r="91" spans="1:7" ht="26.4" x14ac:dyDescent="0.25">
      <c r="A91" s="794" t="s">
        <v>1302</v>
      </c>
      <c r="B91" s="418">
        <v>460131113</v>
      </c>
      <c r="C91" s="10" t="s">
        <v>350</v>
      </c>
      <c r="D91" s="18" t="s">
        <v>2</v>
      </c>
      <c r="E91" s="10">
        <f>0.5*0.5*0.9*17</f>
        <v>3.8250000000000002</v>
      </c>
      <c r="F91" s="804"/>
      <c r="G91" s="92">
        <f t="shared" si="2"/>
        <v>0</v>
      </c>
    </row>
    <row r="92" spans="1:7" ht="26.4" x14ac:dyDescent="0.25">
      <c r="A92" s="794" t="s">
        <v>1307</v>
      </c>
      <c r="B92" s="418">
        <v>271532212</v>
      </c>
      <c r="C92" s="10" t="s">
        <v>351</v>
      </c>
      <c r="D92" s="18" t="s">
        <v>2</v>
      </c>
      <c r="E92" s="10">
        <f>0.5*0.5*0.3*17</f>
        <v>1.2749999999999999</v>
      </c>
      <c r="F92" s="804"/>
      <c r="G92" s="92">
        <f t="shared" si="2"/>
        <v>0</v>
      </c>
    </row>
    <row r="93" spans="1:7" ht="39.6" x14ac:dyDescent="0.25">
      <c r="A93" s="794" t="s">
        <v>1313</v>
      </c>
      <c r="B93" s="418">
        <v>212751104</v>
      </c>
      <c r="C93" s="10" t="s">
        <v>2343</v>
      </c>
      <c r="D93" s="18" t="s">
        <v>28</v>
      </c>
      <c r="E93" s="10">
        <v>90</v>
      </c>
      <c r="F93" s="804"/>
      <c r="G93" s="92">
        <f t="shared" si="2"/>
        <v>0</v>
      </c>
    </row>
    <row r="94" spans="1:7" x14ac:dyDescent="0.25">
      <c r="A94" s="794" t="s">
        <v>1318</v>
      </c>
      <c r="B94" s="418">
        <v>211971121</v>
      </c>
      <c r="C94" s="10" t="s">
        <v>2341</v>
      </c>
      <c r="D94" s="18" t="s">
        <v>15</v>
      </c>
      <c r="E94" s="10">
        <f>1.3*0.9</f>
        <v>1.1700000000000002</v>
      </c>
      <c r="F94" s="804"/>
      <c r="G94" s="92">
        <f t="shared" si="2"/>
        <v>0</v>
      </c>
    </row>
    <row r="95" spans="1:7" ht="26.4" x14ac:dyDescent="0.25">
      <c r="A95" s="794" t="s">
        <v>1323</v>
      </c>
      <c r="B95" s="1" t="s">
        <v>382</v>
      </c>
      <c r="C95" s="10" t="s">
        <v>2342</v>
      </c>
      <c r="D95" s="18" t="s">
        <v>26</v>
      </c>
      <c r="E95" s="10">
        <v>9</v>
      </c>
      <c r="G95" s="92">
        <f t="shared" si="2"/>
        <v>0</v>
      </c>
    </row>
    <row r="96" spans="1:7" x14ac:dyDescent="0.25">
      <c r="A96" s="794" t="s">
        <v>1329</v>
      </c>
      <c r="B96" s="1" t="s">
        <v>2346</v>
      </c>
      <c r="C96" s="10" t="s">
        <v>2344</v>
      </c>
      <c r="D96" s="18" t="s">
        <v>26</v>
      </c>
      <c r="E96" s="10">
        <v>8</v>
      </c>
      <c r="G96" s="92">
        <f t="shared" si="2"/>
        <v>0</v>
      </c>
    </row>
    <row r="97" spans="1:8" ht="26.4" x14ac:dyDescent="0.25">
      <c r="A97" s="794" t="s">
        <v>1333</v>
      </c>
      <c r="B97" s="1" t="s">
        <v>2347</v>
      </c>
      <c r="C97" s="10" t="s">
        <v>2330</v>
      </c>
      <c r="D97" s="18" t="s">
        <v>26</v>
      </c>
      <c r="E97" s="10">
        <v>8</v>
      </c>
      <c r="G97" s="92">
        <f t="shared" si="2"/>
        <v>0</v>
      </c>
    </row>
    <row r="98" spans="1:8" ht="26.4" x14ac:dyDescent="0.25">
      <c r="A98" s="794" t="s">
        <v>696</v>
      </c>
      <c r="B98" s="1" t="s">
        <v>2347</v>
      </c>
      <c r="C98" s="10" t="s">
        <v>2329</v>
      </c>
      <c r="D98" s="18" t="s">
        <v>26</v>
      </c>
      <c r="E98" s="10">
        <v>22</v>
      </c>
      <c r="G98" s="92">
        <f t="shared" si="2"/>
        <v>0</v>
      </c>
    </row>
    <row r="99" spans="1:8" x14ac:dyDescent="0.25">
      <c r="A99" s="794" t="s">
        <v>1348</v>
      </c>
      <c r="B99" s="968"/>
      <c r="C99" s="969" t="s">
        <v>352</v>
      </c>
      <c r="D99" s="956"/>
      <c r="E99" s="955"/>
      <c r="F99" s="970"/>
      <c r="G99" s="971"/>
      <c r="H99" s="957"/>
    </row>
    <row r="100" spans="1:8" ht="13.8" x14ac:dyDescent="0.25">
      <c r="A100" s="794" t="s">
        <v>1353</v>
      </c>
      <c r="B100" s="27" t="s">
        <v>359</v>
      </c>
      <c r="C100" s="17" t="s">
        <v>361</v>
      </c>
      <c r="D100" s="18" t="s">
        <v>358</v>
      </c>
      <c r="E100" s="452">
        <v>16</v>
      </c>
      <c r="F100" s="460"/>
      <c r="G100" s="451">
        <f>E100*F100</f>
        <v>0</v>
      </c>
    </row>
    <row r="101" spans="1:8" ht="13.8" x14ac:dyDescent="0.25">
      <c r="A101" s="794" t="s">
        <v>1358</v>
      </c>
      <c r="B101" s="27" t="s">
        <v>360</v>
      </c>
      <c r="C101" s="17" t="s">
        <v>362</v>
      </c>
      <c r="D101" s="18" t="s">
        <v>358</v>
      </c>
      <c r="E101" s="452">
        <v>32</v>
      </c>
      <c r="F101" s="460"/>
      <c r="G101" s="451">
        <f>E101*F101</f>
        <v>0</v>
      </c>
    </row>
    <row r="102" spans="1:8" ht="39.6" x14ac:dyDescent="0.25">
      <c r="A102" s="794" t="s">
        <v>1363</v>
      </c>
      <c r="B102" s="801"/>
      <c r="C102" s="20" t="s">
        <v>353</v>
      </c>
    </row>
    <row r="103" spans="1:8" ht="27" x14ac:dyDescent="0.3">
      <c r="A103" s="794" t="s">
        <v>1367</v>
      </c>
      <c r="B103" s="34">
        <v>460161242</v>
      </c>
      <c r="C103" s="10" t="s">
        <v>670</v>
      </c>
      <c r="D103" s="528" t="s">
        <v>28</v>
      </c>
      <c r="E103" s="525">
        <v>420</v>
      </c>
      <c r="F103" s="530"/>
      <c r="G103" s="531">
        <f t="shared" ref="G103:G111" si="3">E103*F103</f>
        <v>0</v>
      </c>
    </row>
    <row r="104" spans="1:8" ht="13.8" x14ac:dyDescent="0.3">
      <c r="A104" s="794" t="s">
        <v>1375</v>
      </c>
      <c r="B104" s="11">
        <v>460661214</v>
      </c>
      <c r="C104" s="10" t="s">
        <v>671</v>
      </c>
      <c r="D104" s="528" t="s">
        <v>28</v>
      </c>
      <c r="E104" s="525">
        <v>420</v>
      </c>
      <c r="F104" s="530"/>
      <c r="G104" s="531">
        <f t="shared" si="3"/>
        <v>0</v>
      </c>
    </row>
    <row r="105" spans="1:8" ht="27" x14ac:dyDescent="0.3">
      <c r="A105" s="794" t="s">
        <v>1381</v>
      </c>
      <c r="B105" s="11">
        <v>460242211</v>
      </c>
      <c r="C105" s="10" t="s">
        <v>377</v>
      </c>
      <c r="D105" s="528" t="s">
        <v>26</v>
      </c>
      <c r="E105" s="525">
        <v>20</v>
      </c>
      <c r="F105" s="530"/>
      <c r="G105" s="531">
        <f t="shared" si="3"/>
        <v>0</v>
      </c>
    </row>
    <row r="106" spans="1:8" ht="28.2" x14ac:dyDescent="0.3">
      <c r="A106" s="794" t="s">
        <v>1386</v>
      </c>
      <c r="B106" s="11">
        <v>460242221</v>
      </c>
      <c r="C106" s="6" t="s">
        <v>384</v>
      </c>
      <c r="D106" s="528" t="s">
        <v>28</v>
      </c>
      <c r="E106" s="458">
        <v>65</v>
      </c>
      <c r="F106" s="459"/>
      <c r="G106" s="531">
        <f t="shared" si="3"/>
        <v>0</v>
      </c>
    </row>
    <row r="107" spans="1:8" ht="27" x14ac:dyDescent="0.3">
      <c r="A107" s="794" t="s">
        <v>1391</v>
      </c>
      <c r="B107" s="11">
        <v>460791214</v>
      </c>
      <c r="C107" s="10" t="s">
        <v>672</v>
      </c>
      <c r="D107" s="528" t="s">
        <v>28</v>
      </c>
      <c r="E107" s="525">
        <v>630</v>
      </c>
      <c r="F107" s="530"/>
      <c r="G107" s="531">
        <f t="shared" si="3"/>
        <v>0</v>
      </c>
    </row>
    <row r="108" spans="1:8" ht="40.200000000000003" x14ac:dyDescent="0.3">
      <c r="A108" s="794" t="s">
        <v>1399</v>
      </c>
      <c r="B108" s="11">
        <v>460431252</v>
      </c>
      <c r="C108" s="10" t="s">
        <v>673</v>
      </c>
      <c r="D108" s="528" t="s">
        <v>28</v>
      </c>
      <c r="E108" s="525">
        <v>420</v>
      </c>
      <c r="F108" s="530"/>
      <c r="G108" s="531">
        <f t="shared" si="3"/>
        <v>0</v>
      </c>
    </row>
    <row r="109" spans="1:8" ht="27" x14ac:dyDescent="0.3">
      <c r="A109" s="794" t="s">
        <v>1404</v>
      </c>
      <c r="B109" s="418" t="s">
        <v>647</v>
      </c>
      <c r="C109" s="10" t="s">
        <v>378</v>
      </c>
      <c r="D109" s="529" t="s">
        <v>15</v>
      </c>
      <c r="E109" s="805">
        <f>420*2</f>
        <v>840</v>
      </c>
      <c r="F109" s="806"/>
      <c r="G109" s="531">
        <f t="shared" si="3"/>
        <v>0</v>
      </c>
    </row>
    <row r="110" spans="1:8" ht="14.4" x14ac:dyDescent="0.3">
      <c r="A110" s="794" t="s">
        <v>1409</v>
      </c>
      <c r="B110" s="483">
        <v>776992111</v>
      </c>
      <c r="C110" s="6" t="s">
        <v>674</v>
      </c>
      <c r="D110" s="529" t="s">
        <v>28</v>
      </c>
      <c r="E110" s="805">
        <v>420</v>
      </c>
      <c r="F110" s="806"/>
      <c r="G110" s="531">
        <f t="shared" si="3"/>
        <v>0</v>
      </c>
    </row>
    <row r="111" spans="1:8" ht="27" x14ac:dyDescent="0.3">
      <c r="A111" s="794" t="s">
        <v>1414</v>
      </c>
      <c r="B111" s="483">
        <v>460671112</v>
      </c>
      <c r="C111" s="10" t="s">
        <v>379</v>
      </c>
      <c r="D111" s="529" t="s">
        <v>28</v>
      </c>
      <c r="E111" s="805">
        <v>420</v>
      </c>
      <c r="F111" s="806"/>
      <c r="G111" s="531">
        <f t="shared" si="3"/>
        <v>0</v>
      </c>
    </row>
    <row r="112" spans="1:8" ht="39.6" x14ac:dyDescent="0.25">
      <c r="A112" s="794" t="s">
        <v>1419</v>
      </c>
      <c r="B112" s="807"/>
      <c r="C112" s="20" t="s">
        <v>306</v>
      </c>
    </row>
    <row r="113" spans="1:7" ht="40.200000000000003" x14ac:dyDescent="0.3">
      <c r="A113" s="794" t="s">
        <v>1424</v>
      </c>
      <c r="B113" s="11">
        <v>460161312</v>
      </c>
      <c r="C113" s="10" t="s">
        <v>678</v>
      </c>
      <c r="D113" s="528" t="s">
        <v>28</v>
      </c>
      <c r="E113" s="525">
        <v>15</v>
      </c>
      <c r="F113" s="530"/>
      <c r="G113" s="531">
        <f t="shared" ref="G113:G128" si="4">E113*F113</f>
        <v>0</v>
      </c>
    </row>
    <row r="114" spans="1:7" ht="13.8" x14ac:dyDescent="0.3">
      <c r="A114" s="794" t="s">
        <v>1433</v>
      </c>
      <c r="B114" s="27">
        <v>460281111</v>
      </c>
      <c r="C114" s="10" t="s">
        <v>679</v>
      </c>
      <c r="D114" s="528" t="s">
        <v>15</v>
      </c>
      <c r="E114" s="525">
        <f>15*1.2*2</f>
        <v>36</v>
      </c>
      <c r="F114" s="530"/>
      <c r="G114" s="531">
        <f t="shared" si="4"/>
        <v>0</v>
      </c>
    </row>
    <row r="115" spans="1:7" ht="13.8" x14ac:dyDescent="0.3">
      <c r="A115" s="794" t="s">
        <v>1438</v>
      </c>
      <c r="B115" s="11">
        <v>460281121</v>
      </c>
      <c r="C115" s="8" t="s">
        <v>680</v>
      </c>
      <c r="D115" s="528" t="s">
        <v>15</v>
      </c>
      <c r="E115" s="525">
        <f>E114</f>
        <v>36</v>
      </c>
      <c r="F115" s="530"/>
      <c r="G115" s="531">
        <f t="shared" si="4"/>
        <v>0</v>
      </c>
    </row>
    <row r="116" spans="1:7" ht="13.8" x14ac:dyDescent="0.3">
      <c r="A116" s="794" t="s">
        <v>1443</v>
      </c>
      <c r="B116" s="483">
        <v>460281114</v>
      </c>
      <c r="C116" s="10" t="s">
        <v>681</v>
      </c>
      <c r="D116" s="528" t="s">
        <v>2</v>
      </c>
      <c r="E116" s="525">
        <f>15*0.5*1.2</f>
        <v>9</v>
      </c>
      <c r="F116" s="530"/>
      <c r="G116" s="531">
        <f t="shared" si="4"/>
        <v>0</v>
      </c>
    </row>
    <row r="117" spans="1:7" ht="13.8" x14ac:dyDescent="0.3">
      <c r="A117" s="794" t="s">
        <v>1448</v>
      </c>
      <c r="B117" s="11">
        <v>460281124</v>
      </c>
      <c r="C117" s="8" t="s">
        <v>680</v>
      </c>
      <c r="D117" s="528" t="s">
        <v>2</v>
      </c>
      <c r="E117" s="525">
        <f>E116</f>
        <v>9</v>
      </c>
      <c r="F117" s="530"/>
      <c r="G117" s="531">
        <f t="shared" si="4"/>
        <v>0</v>
      </c>
    </row>
    <row r="118" spans="1:7" ht="27" x14ac:dyDescent="0.3">
      <c r="A118" s="794" t="s">
        <v>1453</v>
      </c>
      <c r="B118" s="11">
        <v>567122114</v>
      </c>
      <c r="C118" s="10" t="s">
        <v>682</v>
      </c>
      <c r="D118" s="528" t="s">
        <v>2</v>
      </c>
      <c r="E118" s="525">
        <f>15*0.2*2*0.5</f>
        <v>3</v>
      </c>
      <c r="F118" s="530"/>
      <c r="G118" s="531">
        <f t="shared" si="4"/>
        <v>0</v>
      </c>
    </row>
    <row r="119" spans="1:7" ht="27" x14ac:dyDescent="0.3">
      <c r="A119" s="794" t="s">
        <v>1458</v>
      </c>
      <c r="B119" s="11">
        <v>460242211</v>
      </c>
      <c r="C119" s="10" t="s">
        <v>377</v>
      </c>
      <c r="D119" s="528" t="s">
        <v>26</v>
      </c>
      <c r="E119" s="525">
        <v>6</v>
      </c>
      <c r="F119" s="530"/>
      <c r="G119" s="531">
        <f t="shared" si="4"/>
        <v>0</v>
      </c>
    </row>
    <row r="120" spans="1:7" ht="14.4" x14ac:dyDescent="0.3">
      <c r="A120" s="794" t="s">
        <v>1463</v>
      </c>
      <c r="B120" s="11">
        <v>460242221</v>
      </c>
      <c r="C120" s="6" t="s">
        <v>381</v>
      </c>
      <c r="D120" s="528" t="s">
        <v>28</v>
      </c>
      <c r="E120" s="525">
        <v>6</v>
      </c>
      <c r="F120" s="530"/>
      <c r="G120" s="531">
        <f t="shared" si="4"/>
        <v>0</v>
      </c>
    </row>
    <row r="121" spans="1:7" ht="40.200000000000003" x14ac:dyDescent="0.3">
      <c r="A121" s="794" t="s">
        <v>1470</v>
      </c>
      <c r="B121" s="11">
        <v>460791214</v>
      </c>
      <c r="C121" s="10" t="s">
        <v>683</v>
      </c>
      <c r="D121" s="528" t="s">
        <v>28</v>
      </c>
      <c r="E121" s="525">
        <f>15</f>
        <v>15</v>
      </c>
      <c r="F121" s="530"/>
      <c r="G121" s="531">
        <f t="shared" si="4"/>
        <v>0</v>
      </c>
    </row>
    <row r="122" spans="1:7" ht="27" x14ac:dyDescent="0.3">
      <c r="A122" s="794" t="s">
        <v>1476</v>
      </c>
      <c r="B122" s="11">
        <v>460431252</v>
      </c>
      <c r="C122" s="10" t="s">
        <v>684</v>
      </c>
      <c r="D122" s="528" t="s">
        <v>28</v>
      </c>
      <c r="E122" s="525">
        <v>15</v>
      </c>
      <c r="F122" s="530"/>
      <c r="G122" s="531">
        <f t="shared" si="4"/>
        <v>0</v>
      </c>
    </row>
    <row r="123" spans="1:7" ht="53.4" x14ac:dyDescent="0.3">
      <c r="A123" s="794" t="s">
        <v>1480</v>
      </c>
      <c r="B123" s="483">
        <v>460341113</v>
      </c>
      <c r="C123" s="10" t="s">
        <v>685</v>
      </c>
      <c r="D123" s="529" t="s">
        <v>2</v>
      </c>
      <c r="E123" s="805">
        <f>15*0.5*0.7*2</f>
        <v>10.5</v>
      </c>
      <c r="F123" s="806"/>
      <c r="G123" s="531">
        <f t="shared" si="4"/>
        <v>0</v>
      </c>
    </row>
    <row r="124" spans="1:7" ht="40.200000000000003" x14ac:dyDescent="0.3">
      <c r="A124" s="794" t="s">
        <v>1485</v>
      </c>
      <c r="B124" s="483">
        <v>451535111</v>
      </c>
      <c r="C124" s="10" t="s">
        <v>686</v>
      </c>
      <c r="D124" s="529" t="s">
        <v>15</v>
      </c>
      <c r="E124" s="805">
        <f>0.5*15</f>
        <v>7.5</v>
      </c>
      <c r="F124" s="806"/>
      <c r="G124" s="531">
        <f t="shared" si="4"/>
        <v>0</v>
      </c>
    </row>
    <row r="125" spans="1:7" ht="27" x14ac:dyDescent="0.3">
      <c r="A125" s="794" t="s">
        <v>1489</v>
      </c>
      <c r="B125" s="808"/>
      <c r="C125" s="809" t="s">
        <v>357</v>
      </c>
      <c r="D125" s="810"/>
      <c r="E125" s="811"/>
      <c r="F125" s="812"/>
      <c r="G125" s="531"/>
    </row>
    <row r="126" spans="1:7" ht="27" x14ac:dyDescent="0.3">
      <c r="A126" s="794" t="s">
        <v>1494</v>
      </c>
      <c r="B126" s="27">
        <v>460892121</v>
      </c>
      <c r="C126" s="10" t="s">
        <v>2482</v>
      </c>
      <c r="D126" s="529" t="s">
        <v>28</v>
      </c>
      <c r="E126" s="805">
        <v>4</v>
      </c>
      <c r="F126" s="806"/>
      <c r="G126" s="531">
        <f t="shared" si="4"/>
        <v>0</v>
      </c>
    </row>
    <row r="127" spans="1:7" ht="14.4" x14ac:dyDescent="0.3">
      <c r="A127" s="794" t="s">
        <v>1498</v>
      </c>
      <c r="B127" s="23">
        <v>776992111</v>
      </c>
      <c r="C127" s="6" t="s">
        <v>668</v>
      </c>
      <c r="D127" s="528" t="s">
        <v>28</v>
      </c>
      <c r="E127" s="525">
        <v>15</v>
      </c>
      <c r="F127" s="530"/>
      <c r="G127" s="531">
        <f t="shared" si="4"/>
        <v>0</v>
      </c>
    </row>
    <row r="128" spans="1:7" ht="40.200000000000003" x14ac:dyDescent="0.3">
      <c r="A128" s="794" t="s">
        <v>1505</v>
      </c>
      <c r="B128" s="1">
        <v>460490012</v>
      </c>
      <c r="C128" s="10" t="s">
        <v>380</v>
      </c>
      <c r="D128" s="529" t="s">
        <v>28</v>
      </c>
      <c r="E128" s="525">
        <v>15</v>
      </c>
      <c r="F128" s="530"/>
      <c r="G128" s="531">
        <f t="shared" si="4"/>
        <v>0</v>
      </c>
    </row>
    <row r="129" spans="1:8" ht="13.8" x14ac:dyDescent="0.3">
      <c r="A129" s="794" t="s">
        <v>1509</v>
      </c>
      <c r="B129" s="962"/>
      <c r="C129" s="948" t="s">
        <v>2328</v>
      </c>
      <c r="D129" s="963"/>
      <c r="E129" s="964"/>
      <c r="F129" s="965"/>
      <c r="G129" s="966"/>
      <c r="H129" s="953"/>
    </row>
    <row r="130" spans="1:8" ht="52.8" x14ac:dyDescent="0.25">
      <c r="A130" s="794" t="s">
        <v>1512</v>
      </c>
      <c r="B130" s="537" t="s">
        <v>1289</v>
      </c>
      <c r="C130" s="538" t="s">
        <v>2331</v>
      </c>
      <c r="D130" s="532" t="s">
        <v>920</v>
      </c>
      <c r="E130" s="533">
        <v>22</v>
      </c>
      <c r="F130" s="534"/>
      <c r="G130" s="535">
        <f>ROUND(F130*E130,2)</f>
        <v>0</v>
      </c>
    </row>
    <row r="131" spans="1:8" ht="39.6" x14ac:dyDescent="0.25">
      <c r="A131" s="794" t="s">
        <v>1515</v>
      </c>
      <c r="B131" s="109">
        <v>460131113</v>
      </c>
      <c r="C131" s="10" t="s">
        <v>2340</v>
      </c>
      <c r="D131" s="18" t="s">
        <v>2</v>
      </c>
      <c r="E131" s="91">
        <f>0.4*0.5*0.4*22</f>
        <v>1.7600000000000002</v>
      </c>
      <c r="G131" s="92">
        <f>E131*F131</f>
        <v>0</v>
      </c>
      <c r="H131" s="813">
        <v>0</v>
      </c>
    </row>
    <row r="132" spans="1:8" x14ac:dyDescent="0.25">
      <c r="A132" s="794" t="s">
        <v>1518</v>
      </c>
      <c r="B132" s="109"/>
      <c r="C132" s="8" t="s">
        <v>2348</v>
      </c>
      <c r="E132" s="91"/>
      <c r="H132" s="813"/>
    </row>
    <row r="133" spans="1:8" ht="27" x14ac:dyDescent="0.3">
      <c r="A133" s="794" t="s">
        <v>1532</v>
      </c>
      <c r="B133" s="156">
        <v>460242211</v>
      </c>
      <c r="C133" s="10" t="s">
        <v>377</v>
      </c>
      <c r="D133" s="528" t="s">
        <v>26</v>
      </c>
      <c r="E133" s="525">
        <v>10</v>
      </c>
      <c r="F133" s="530"/>
      <c r="G133" s="531">
        <f>E133*F133</f>
        <v>0</v>
      </c>
      <c r="H133" s="813"/>
    </row>
    <row r="134" spans="1:8" x14ac:dyDescent="0.25">
      <c r="A134" s="794" t="s">
        <v>1537</v>
      </c>
      <c r="B134" s="109">
        <v>275313811</v>
      </c>
      <c r="C134" s="463" t="s">
        <v>2339</v>
      </c>
      <c r="D134" s="18" t="s">
        <v>2</v>
      </c>
      <c r="E134" s="91">
        <f>0.4*0.5*0.4*22</f>
        <v>1.7600000000000002</v>
      </c>
      <c r="G134" s="92">
        <f>E134*F134</f>
        <v>0</v>
      </c>
      <c r="H134" s="813">
        <f>2.45329*E134</f>
        <v>4.3177904000000007</v>
      </c>
    </row>
    <row r="135" spans="1:8" x14ac:dyDescent="0.25">
      <c r="A135" s="794" t="s">
        <v>1543</v>
      </c>
      <c r="B135" s="425">
        <v>174151102</v>
      </c>
      <c r="C135" s="24" t="s">
        <v>2345</v>
      </c>
      <c r="D135" s="19" t="s">
        <v>2</v>
      </c>
      <c r="E135" s="441">
        <f>0.4*0.5*0.4*22</f>
        <v>1.7600000000000002</v>
      </c>
      <c r="G135" s="438">
        <f>E135*F135</f>
        <v>0</v>
      </c>
      <c r="H135" s="814"/>
    </row>
    <row r="136" spans="1:8" ht="13.8" x14ac:dyDescent="0.3">
      <c r="A136" s="794" t="s">
        <v>1548</v>
      </c>
      <c r="B136" s="958"/>
      <c r="C136" s="948" t="s">
        <v>309</v>
      </c>
      <c r="D136" s="967"/>
      <c r="E136" s="964"/>
      <c r="F136" s="965"/>
      <c r="G136" s="960"/>
      <c r="H136" s="953"/>
    </row>
    <row r="137" spans="1:8" ht="40.200000000000003" x14ac:dyDescent="0.3">
      <c r="A137" s="794" t="s">
        <v>1553</v>
      </c>
      <c r="B137" s="1" t="s">
        <v>363</v>
      </c>
      <c r="C137" s="20" t="s">
        <v>687</v>
      </c>
      <c r="D137" s="529" t="s">
        <v>26</v>
      </c>
      <c r="E137" s="525">
        <v>65</v>
      </c>
      <c r="F137" s="530"/>
      <c r="G137" s="531">
        <f>E137*F137</f>
        <v>0</v>
      </c>
    </row>
    <row r="138" spans="1:8" x14ac:dyDescent="0.25">
      <c r="A138" s="794" t="s">
        <v>1558</v>
      </c>
      <c r="B138" s="897"/>
      <c r="C138" s="898" t="s">
        <v>2634</v>
      </c>
      <c r="D138" s="899"/>
      <c r="E138" s="900"/>
      <c r="F138" s="901"/>
      <c r="G138" s="902"/>
      <c r="H138" s="903"/>
    </row>
    <row r="139" spans="1:8" s="456" customFormat="1" ht="13.8" x14ac:dyDescent="0.25">
      <c r="A139" s="794" t="s">
        <v>1563</v>
      </c>
      <c r="B139" s="105" t="s">
        <v>360</v>
      </c>
      <c r="C139" s="442" t="s">
        <v>227</v>
      </c>
      <c r="D139" s="443" t="s">
        <v>358</v>
      </c>
      <c r="E139" s="443">
        <f>8*4</f>
        <v>32</v>
      </c>
      <c r="F139" s="444"/>
      <c r="G139" s="453">
        <f>E139*F139</f>
        <v>0</v>
      </c>
      <c r="H139" s="536"/>
    </row>
    <row r="140" spans="1:8" s="146" customFormat="1" ht="15" x14ac:dyDescent="0.25">
      <c r="A140" s="794" t="s">
        <v>1568</v>
      </c>
      <c r="B140" s="117"/>
      <c r="C140" s="110" t="s">
        <v>662</v>
      </c>
      <c r="D140" s="111" t="s">
        <v>26</v>
      </c>
      <c r="E140" s="112">
        <v>1</v>
      </c>
      <c r="F140" s="815"/>
      <c r="G140" s="113">
        <f>E140*F140</f>
        <v>0</v>
      </c>
      <c r="H140" s="145"/>
    </row>
    <row r="141" spans="1:8" ht="13.8" x14ac:dyDescent="0.25">
      <c r="A141" s="794" t="s">
        <v>1574</v>
      </c>
      <c r="B141" s="21"/>
      <c r="C141" s="6" t="s">
        <v>669</v>
      </c>
      <c r="D141" s="18" t="s">
        <v>26</v>
      </c>
      <c r="E141" s="452">
        <v>1</v>
      </c>
      <c r="F141" s="460"/>
      <c r="G141" s="113">
        <f>E141*F141</f>
        <v>0</v>
      </c>
    </row>
  </sheetData>
  <phoneticPr fontId="12" type="noConversion"/>
  <printOptions gridLines="1"/>
  <pageMargins left="0.59055118110236227" right="0.59055118110236227" top="0.59055118110236227" bottom="0.59055118110236227" header="0.31496062992125984" footer="0.31496062992125984"/>
  <pageSetup paperSize="9" scale="71" fitToHeight="100" orientation="portrait" r:id="rId1"/>
  <headerFooter>
    <oddFoote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Q78"/>
  <sheetViews>
    <sheetView topLeftCell="A35" workbookViewId="0">
      <selection activeCell="F43" sqref="F43:F79"/>
    </sheetView>
  </sheetViews>
  <sheetFormatPr defaultRowHeight="13.2" x14ac:dyDescent="0.25"/>
  <cols>
    <col min="1" max="1" width="6.33203125" style="546" customWidth="1"/>
    <col min="2" max="2" width="13.5546875" style="578" bestFit="1" customWidth="1"/>
    <col min="3" max="3" width="64" style="550" customWidth="1"/>
    <col min="4" max="4" width="4.5546875" style="546" customWidth="1"/>
    <col min="5" max="5" width="8.88671875" style="550"/>
    <col min="6" max="6" width="8.88671875" style="587"/>
    <col min="7" max="7" width="13.6640625" style="549" bestFit="1" customWidth="1"/>
    <col min="8" max="8" width="10" style="549" bestFit="1" customWidth="1"/>
    <col min="9" max="16384" width="8.88671875" style="550"/>
  </cols>
  <sheetData>
    <row r="1" spans="1:7" ht="13.8" x14ac:dyDescent="0.25">
      <c r="A1" s="543"/>
      <c r="B1" s="544"/>
      <c r="C1" s="545" t="s">
        <v>95</v>
      </c>
      <c r="E1" s="547"/>
      <c r="F1" s="548"/>
      <c r="G1" s="547"/>
    </row>
    <row r="2" spans="1:7" x14ac:dyDescent="0.25">
      <c r="A2" s="543"/>
      <c r="B2" s="544"/>
      <c r="C2" s="546" t="s">
        <v>97</v>
      </c>
      <c r="E2" s="547"/>
      <c r="F2" s="548"/>
      <c r="G2" s="547"/>
    </row>
    <row r="3" spans="1:7" x14ac:dyDescent="0.25">
      <c r="A3" s="543"/>
      <c r="B3" s="544"/>
      <c r="C3" s="546"/>
      <c r="E3" s="547"/>
      <c r="F3" s="548"/>
      <c r="G3" s="547"/>
    </row>
    <row r="4" spans="1:7" x14ac:dyDescent="0.25">
      <c r="A4" s="543"/>
      <c r="B4" s="544"/>
      <c r="C4" s="546"/>
      <c r="E4" s="547"/>
      <c r="F4" s="548"/>
      <c r="G4" s="547"/>
    </row>
    <row r="5" spans="1:7" x14ac:dyDescent="0.25">
      <c r="A5" s="543"/>
      <c r="B5" s="544"/>
      <c r="C5" s="546" t="s">
        <v>98</v>
      </c>
      <c r="E5" s="547"/>
      <c r="F5" s="548"/>
      <c r="G5" s="547"/>
    </row>
    <row r="6" spans="1:7" ht="13.8" x14ac:dyDescent="0.25">
      <c r="A6" s="543"/>
      <c r="B6" s="544"/>
      <c r="C6" s="545" t="s">
        <v>2438</v>
      </c>
      <c r="E6" s="547"/>
      <c r="F6" s="548"/>
      <c r="G6" s="547"/>
    </row>
    <row r="7" spans="1:7" x14ac:dyDescent="0.25">
      <c r="A7" s="543"/>
      <c r="B7" s="544"/>
      <c r="C7" s="546"/>
      <c r="E7" s="547"/>
      <c r="F7" s="548"/>
      <c r="G7" s="547"/>
    </row>
    <row r="8" spans="1:7" x14ac:dyDescent="0.25">
      <c r="A8" s="543"/>
      <c r="B8" s="544"/>
      <c r="C8" s="546"/>
      <c r="E8" s="547"/>
      <c r="F8" s="548"/>
      <c r="G8" s="547"/>
    </row>
    <row r="9" spans="1:7" x14ac:dyDescent="0.25">
      <c r="A9" s="543"/>
      <c r="B9" s="544"/>
      <c r="C9" s="546"/>
      <c r="E9" s="547"/>
      <c r="F9" s="548"/>
      <c r="G9" s="547"/>
    </row>
    <row r="10" spans="1:7" x14ac:dyDescent="0.25">
      <c r="A10" s="543" t="s">
        <v>99</v>
      </c>
      <c r="B10" s="544"/>
      <c r="C10" s="546" t="s">
        <v>100</v>
      </c>
      <c r="E10" s="547"/>
      <c r="F10" s="548"/>
      <c r="G10" s="547"/>
    </row>
    <row r="11" spans="1:7" ht="13.8" x14ac:dyDescent="0.25">
      <c r="A11" s="543" t="s">
        <v>101</v>
      </c>
      <c r="B11" s="544"/>
      <c r="C11" s="545" t="s">
        <v>2438</v>
      </c>
      <c r="D11" s="546" t="s">
        <v>71</v>
      </c>
      <c r="E11" s="547"/>
      <c r="F11" s="548"/>
      <c r="G11" s="552">
        <f>SUM(G42:G77)</f>
        <v>0</v>
      </c>
    </row>
    <row r="12" spans="1:7" x14ac:dyDescent="0.25">
      <c r="A12" s="543" t="s">
        <v>102</v>
      </c>
      <c r="B12" s="544"/>
      <c r="C12" s="546"/>
      <c r="E12" s="547"/>
      <c r="F12" s="548"/>
      <c r="G12" s="553"/>
    </row>
    <row r="13" spans="1:7" x14ac:dyDescent="0.25">
      <c r="A13" s="543" t="s">
        <v>103</v>
      </c>
      <c r="B13" s="544"/>
      <c r="C13" s="546" t="s">
        <v>104</v>
      </c>
      <c r="D13" s="546" t="s">
        <v>71</v>
      </c>
      <c r="E13" s="547"/>
      <c r="F13" s="548"/>
      <c r="G13" s="552">
        <f>SUM(G11:G12)</f>
        <v>0</v>
      </c>
    </row>
    <row r="14" spans="1:7" x14ac:dyDescent="0.25">
      <c r="A14" s="543" t="s">
        <v>105</v>
      </c>
      <c r="B14" s="544"/>
      <c r="C14" s="546" t="s">
        <v>106</v>
      </c>
      <c r="D14" s="546" t="s">
        <v>71</v>
      </c>
      <c r="E14" s="547">
        <v>0.03</v>
      </c>
      <c r="F14" s="548"/>
      <c r="G14" s="553">
        <f>G13*E14</f>
        <v>0</v>
      </c>
    </row>
    <row r="15" spans="1:7" x14ac:dyDescent="0.25">
      <c r="A15" s="543" t="s">
        <v>107</v>
      </c>
      <c r="B15" s="544"/>
      <c r="C15" s="546" t="s">
        <v>108</v>
      </c>
      <c r="D15" s="546" t="s">
        <v>71</v>
      </c>
      <c r="E15" s="547"/>
      <c r="F15" s="548"/>
      <c r="G15" s="552">
        <f>SUM(G13:G14)</f>
        <v>0</v>
      </c>
    </row>
    <row r="16" spans="1:7" x14ac:dyDescent="0.25">
      <c r="A16" s="543" t="s">
        <v>109</v>
      </c>
      <c r="B16" s="544"/>
      <c r="C16" s="546" t="s">
        <v>110</v>
      </c>
      <c r="D16" s="546" t="s">
        <v>71</v>
      </c>
      <c r="E16" s="547">
        <v>0.21</v>
      </c>
      <c r="F16" s="548"/>
      <c r="G16" s="553">
        <f>G15*E16</f>
        <v>0</v>
      </c>
    </row>
    <row r="17" spans="1:17" x14ac:dyDescent="0.25">
      <c r="A17" s="543" t="s">
        <v>111</v>
      </c>
      <c r="B17" s="544"/>
      <c r="C17" s="546"/>
      <c r="E17" s="547"/>
      <c r="F17" s="548"/>
      <c r="G17" s="553"/>
    </row>
    <row r="18" spans="1:17" x14ac:dyDescent="0.25">
      <c r="A18" s="543" t="s">
        <v>112</v>
      </c>
      <c r="B18" s="544"/>
      <c r="C18" s="546" t="s">
        <v>113</v>
      </c>
      <c r="D18" s="546" t="s">
        <v>71</v>
      </c>
      <c r="E18" s="547"/>
      <c r="F18" s="548"/>
      <c r="G18" s="552">
        <f>SUM(G15:G16)</f>
        <v>0</v>
      </c>
    </row>
    <row r="19" spans="1:17" x14ac:dyDescent="0.25">
      <c r="A19" s="543" t="s">
        <v>928</v>
      </c>
      <c r="B19" s="544"/>
      <c r="C19" s="551"/>
      <c r="E19" s="547"/>
      <c r="F19" s="548"/>
      <c r="G19" s="554"/>
    </row>
    <row r="20" spans="1:17" x14ac:dyDescent="0.25">
      <c r="A20" s="543" t="s">
        <v>934</v>
      </c>
      <c r="B20" s="544"/>
      <c r="C20" s="551"/>
      <c r="E20" s="547"/>
      <c r="F20" s="548"/>
      <c r="G20" s="547"/>
    </row>
    <row r="21" spans="1:17" s="563" customFormat="1" ht="42" customHeight="1" x14ac:dyDescent="0.25">
      <c r="A21" s="555" t="s">
        <v>114</v>
      </c>
      <c r="B21" s="556" t="s">
        <v>432</v>
      </c>
      <c r="C21" s="557" t="s">
        <v>115</v>
      </c>
      <c r="D21" s="557" t="s">
        <v>116</v>
      </c>
      <c r="E21" s="558" t="s">
        <v>117</v>
      </c>
      <c r="F21" s="559" t="s">
        <v>118</v>
      </c>
      <c r="G21" s="560" t="s">
        <v>119</v>
      </c>
      <c r="H21" s="561" t="s">
        <v>607</v>
      </c>
      <c r="I21" s="562"/>
      <c r="L21" s="564"/>
      <c r="M21" s="565"/>
      <c r="O21" s="566"/>
      <c r="P21" s="565"/>
      <c r="Q21" s="567"/>
    </row>
    <row r="22" spans="1:17" ht="26.4" x14ac:dyDescent="0.25">
      <c r="A22" s="543" t="s">
        <v>123</v>
      </c>
      <c r="B22" s="544"/>
      <c r="C22" s="568" t="s">
        <v>142</v>
      </c>
      <c r="E22" s="547"/>
      <c r="F22" s="548"/>
      <c r="G22" s="547"/>
    </row>
    <row r="23" spans="1:17" x14ac:dyDescent="0.25">
      <c r="A23" s="543" t="s">
        <v>948</v>
      </c>
      <c r="B23" s="544"/>
      <c r="C23" s="551" t="s">
        <v>143</v>
      </c>
      <c r="E23" s="547"/>
      <c r="F23" s="548"/>
      <c r="G23" s="547"/>
    </row>
    <row r="24" spans="1:17" ht="92.4" x14ac:dyDescent="0.25">
      <c r="A24" s="543" t="s">
        <v>967</v>
      </c>
      <c r="B24" s="544"/>
      <c r="C24" s="568" t="s">
        <v>2445</v>
      </c>
      <c r="E24" s="547"/>
      <c r="F24" s="548"/>
      <c r="G24" s="547"/>
    </row>
    <row r="25" spans="1:17" ht="39.6" x14ac:dyDescent="0.25">
      <c r="A25" s="543" t="s">
        <v>974</v>
      </c>
      <c r="B25" s="544"/>
      <c r="C25" s="550" t="s">
        <v>2360</v>
      </c>
      <c r="E25" s="547"/>
      <c r="F25" s="548"/>
      <c r="G25" s="547"/>
    </row>
    <row r="26" spans="1:17" x14ac:dyDescent="0.25">
      <c r="A26" s="543" t="s">
        <v>980</v>
      </c>
      <c r="B26" s="544"/>
      <c r="C26" s="551" t="s">
        <v>145</v>
      </c>
      <c r="E26" s="547"/>
      <c r="F26" s="548"/>
      <c r="G26" s="547"/>
    </row>
    <row r="27" spans="1:17" ht="66" x14ac:dyDescent="0.25">
      <c r="A27" s="543" t="s">
        <v>990</v>
      </c>
      <c r="B27" s="544"/>
      <c r="C27" s="551" t="s">
        <v>146</v>
      </c>
      <c r="E27" s="547"/>
      <c r="F27" s="548"/>
      <c r="G27" s="547"/>
    </row>
    <row r="28" spans="1:17" x14ac:dyDescent="0.25">
      <c r="A28" s="543" t="s">
        <v>996</v>
      </c>
      <c r="B28" s="544"/>
      <c r="C28" s="551" t="s">
        <v>147</v>
      </c>
      <c r="E28" s="547"/>
      <c r="F28" s="548"/>
      <c r="G28" s="547"/>
    </row>
    <row r="29" spans="1:17" ht="26.4" x14ac:dyDescent="0.25">
      <c r="A29" s="543" t="s">
        <v>1002</v>
      </c>
      <c r="B29" s="544"/>
      <c r="C29" s="551" t="s">
        <v>148</v>
      </c>
      <c r="E29" s="547"/>
      <c r="F29" s="548"/>
      <c r="G29" s="547"/>
    </row>
    <row r="30" spans="1:17" ht="39.6" x14ac:dyDescent="0.25">
      <c r="A30" s="543" t="s">
        <v>1008</v>
      </c>
      <c r="B30" s="544"/>
      <c r="C30" s="550" t="s">
        <v>431</v>
      </c>
      <c r="E30" s="547"/>
      <c r="F30" s="548"/>
      <c r="G30" s="547"/>
    </row>
    <row r="31" spans="1:17" x14ac:dyDescent="0.25">
      <c r="A31" s="543" t="s">
        <v>1012</v>
      </c>
      <c r="B31" s="544"/>
      <c r="C31" s="551" t="s">
        <v>150</v>
      </c>
      <c r="E31" s="547"/>
      <c r="F31" s="548"/>
      <c r="G31" s="547"/>
    </row>
    <row r="32" spans="1:17" x14ac:dyDescent="0.25">
      <c r="A32" s="543" t="s">
        <v>1018</v>
      </c>
      <c r="B32" s="544"/>
      <c r="C32" s="551" t="s">
        <v>151</v>
      </c>
      <c r="E32" s="547"/>
      <c r="F32" s="548"/>
      <c r="G32" s="547"/>
    </row>
    <row r="33" spans="1:8" x14ac:dyDescent="0.25">
      <c r="A33" s="543" t="s">
        <v>1022</v>
      </c>
      <c r="B33" s="544"/>
      <c r="C33" s="550" t="s">
        <v>2358</v>
      </c>
      <c r="E33" s="547"/>
      <c r="F33" s="548"/>
      <c r="G33" s="547"/>
    </row>
    <row r="34" spans="1:8" ht="26.4" x14ac:dyDescent="0.25">
      <c r="A34" s="543" t="s">
        <v>1026</v>
      </c>
      <c r="B34" s="544"/>
      <c r="C34" s="551" t="s">
        <v>152</v>
      </c>
      <c r="E34" s="547"/>
      <c r="F34" s="548"/>
      <c r="G34" s="547"/>
    </row>
    <row r="35" spans="1:8" ht="26.4" x14ac:dyDescent="0.25">
      <c r="A35" s="543" t="s">
        <v>1030</v>
      </c>
      <c r="B35" s="544"/>
      <c r="C35" s="551" t="s">
        <v>153</v>
      </c>
      <c r="E35" s="547"/>
      <c r="F35" s="548"/>
      <c r="G35" s="547"/>
    </row>
    <row r="36" spans="1:8" x14ac:dyDescent="0.25">
      <c r="A36" s="543" t="s">
        <v>1034</v>
      </c>
      <c r="B36" s="544"/>
      <c r="C36" s="551" t="s">
        <v>154</v>
      </c>
      <c r="E36" s="547"/>
      <c r="F36" s="548"/>
      <c r="G36" s="547"/>
    </row>
    <row r="37" spans="1:8" x14ac:dyDescent="0.25">
      <c r="A37" s="543" t="s">
        <v>1038</v>
      </c>
      <c r="B37" s="544"/>
      <c r="C37" s="550" t="s">
        <v>2359</v>
      </c>
      <c r="E37" s="547"/>
      <c r="F37" s="548"/>
      <c r="G37" s="547"/>
    </row>
    <row r="38" spans="1:8" ht="26.4" x14ac:dyDescent="0.25">
      <c r="A38" s="543" t="s">
        <v>1042</v>
      </c>
      <c r="B38" s="544"/>
      <c r="C38" s="550" t="s">
        <v>2361</v>
      </c>
      <c r="E38" s="547"/>
      <c r="F38" s="548"/>
      <c r="G38" s="547"/>
    </row>
    <row r="39" spans="1:8" ht="52.8" x14ac:dyDescent="0.25">
      <c r="A39" s="543" t="s">
        <v>1046</v>
      </c>
      <c r="B39" s="544"/>
      <c r="C39" s="550" t="s">
        <v>2181</v>
      </c>
      <c r="E39" s="547"/>
      <c r="F39" s="548"/>
      <c r="G39" s="547"/>
    </row>
    <row r="40" spans="1:8" x14ac:dyDescent="0.25">
      <c r="A40" s="543" t="s">
        <v>1050</v>
      </c>
      <c r="B40" s="544"/>
      <c r="C40" s="551" t="s">
        <v>2179</v>
      </c>
      <c r="E40" s="547"/>
      <c r="F40" s="548"/>
      <c r="G40" s="547"/>
    </row>
    <row r="41" spans="1:8" x14ac:dyDescent="0.25">
      <c r="A41" s="543" t="s">
        <v>1054</v>
      </c>
      <c r="B41" s="544"/>
      <c r="C41" s="551" t="s">
        <v>2355</v>
      </c>
      <c r="E41" s="547"/>
      <c r="F41" s="548"/>
      <c r="G41" s="547"/>
    </row>
    <row r="42" spans="1:8" s="570" customFormat="1" ht="15.6" x14ac:dyDescent="0.3">
      <c r="A42" s="543" t="s">
        <v>1058</v>
      </c>
      <c r="B42" s="972"/>
      <c r="C42" s="973" t="s">
        <v>2302</v>
      </c>
      <c r="D42" s="974"/>
      <c r="E42" s="975"/>
      <c r="F42" s="975"/>
      <c r="G42" s="976"/>
      <c r="H42" s="976"/>
    </row>
    <row r="43" spans="1:8" s="570" customFormat="1" x14ac:dyDescent="0.25">
      <c r="A43" s="543" t="s">
        <v>1062</v>
      </c>
      <c r="B43" s="569"/>
      <c r="C43" s="572" t="s">
        <v>2303</v>
      </c>
      <c r="D43" s="573" t="s">
        <v>140</v>
      </c>
      <c r="E43" s="588">
        <v>67.98</v>
      </c>
      <c r="F43" s="574"/>
      <c r="G43" s="574">
        <f t="shared" ref="G43:G54" si="0">E43*F43</f>
        <v>0</v>
      </c>
    </row>
    <row r="44" spans="1:8" s="570" customFormat="1" x14ac:dyDescent="0.25">
      <c r="A44" s="543" t="s">
        <v>1066</v>
      </c>
      <c r="B44" s="569"/>
      <c r="C44" s="572" t="s">
        <v>2304</v>
      </c>
      <c r="D44" s="573" t="s">
        <v>140</v>
      </c>
      <c r="E44" s="588">
        <v>67.98</v>
      </c>
      <c r="F44" s="574"/>
      <c r="G44" s="574">
        <f t="shared" si="0"/>
        <v>0</v>
      </c>
    </row>
    <row r="45" spans="1:8" s="570" customFormat="1" x14ac:dyDescent="0.25">
      <c r="A45" s="543" t="s">
        <v>1070</v>
      </c>
      <c r="B45" s="575"/>
      <c r="C45" s="572" t="s">
        <v>2305</v>
      </c>
      <c r="D45" s="573" t="s">
        <v>140</v>
      </c>
      <c r="E45" s="588">
        <v>67.98</v>
      </c>
      <c r="F45" s="574"/>
      <c r="G45" s="574">
        <f t="shared" si="0"/>
        <v>0</v>
      </c>
    </row>
    <row r="46" spans="1:8" x14ac:dyDescent="0.25">
      <c r="A46" s="543" t="s">
        <v>1075</v>
      </c>
      <c r="B46" s="551"/>
      <c r="C46" s="576" t="s">
        <v>2306</v>
      </c>
      <c r="D46" s="577" t="s">
        <v>140</v>
      </c>
      <c r="E46" s="588">
        <v>7</v>
      </c>
      <c r="F46" s="574"/>
      <c r="G46" s="574">
        <f t="shared" si="0"/>
        <v>0</v>
      </c>
      <c r="H46" s="550"/>
    </row>
    <row r="47" spans="1:8" s="570" customFormat="1" x14ac:dyDescent="0.25">
      <c r="A47" s="543" t="s">
        <v>1079</v>
      </c>
      <c r="B47" s="575"/>
      <c r="C47" s="572" t="s">
        <v>2307</v>
      </c>
      <c r="D47" s="573" t="s">
        <v>26</v>
      </c>
      <c r="E47" s="588">
        <v>5</v>
      </c>
      <c r="F47" s="574"/>
      <c r="G47" s="574">
        <f t="shared" si="0"/>
        <v>0</v>
      </c>
    </row>
    <row r="48" spans="1:8" x14ac:dyDescent="0.25">
      <c r="A48" s="543" t="s">
        <v>1083</v>
      </c>
      <c r="B48" s="544"/>
      <c r="C48" s="572" t="s">
        <v>2308</v>
      </c>
      <c r="D48" s="573" t="s">
        <v>26</v>
      </c>
      <c r="E48" s="588">
        <v>9</v>
      </c>
      <c r="F48" s="574"/>
      <c r="G48" s="574">
        <f t="shared" si="0"/>
        <v>0</v>
      </c>
    </row>
    <row r="49" spans="1:8" x14ac:dyDescent="0.25">
      <c r="A49" s="543" t="s">
        <v>1087</v>
      </c>
      <c r="C49" s="576" t="s">
        <v>2309</v>
      </c>
      <c r="D49" s="577" t="s">
        <v>26</v>
      </c>
      <c r="E49" s="588">
        <v>1</v>
      </c>
      <c r="F49" s="574"/>
      <c r="G49" s="574">
        <f t="shared" si="0"/>
        <v>0</v>
      </c>
    </row>
    <row r="50" spans="1:8" x14ac:dyDescent="0.25">
      <c r="A50" s="543" t="s">
        <v>1092</v>
      </c>
      <c r="C50" s="576" t="s">
        <v>2310</v>
      </c>
      <c r="D50" s="577" t="s">
        <v>26</v>
      </c>
      <c r="E50" s="588">
        <v>1</v>
      </c>
      <c r="F50" s="574"/>
      <c r="G50" s="574">
        <f t="shared" si="0"/>
        <v>0</v>
      </c>
    </row>
    <row r="51" spans="1:8" x14ac:dyDescent="0.25">
      <c r="A51" s="543" t="s">
        <v>1097</v>
      </c>
      <c r="B51" s="579"/>
      <c r="C51" s="572" t="s">
        <v>2311</v>
      </c>
      <c r="D51" s="573" t="s">
        <v>140</v>
      </c>
      <c r="E51" s="588">
        <v>66</v>
      </c>
      <c r="F51" s="574"/>
      <c r="G51" s="574">
        <f t="shared" si="0"/>
        <v>0</v>
      </c>
    </row>
    <row r="52" spans="1:8" s="581" customFormat="1" x14ac:dyDescent="0.25">
      <c r="A52" s="543" t="s">
        <v>1102</v>
      </c>
      <c r="B52" s="580"/>
      <c r="C52" s="572" t="s">
        <v>2312</v>
      </c>
      <c r="D52" s="573" t="s">
        <v>140</v>
      </c>
      <c r="E52" s="588">
        <v>66</v>
      </c>
      <c r="F52" s="574"/>
      <c r="G52" s="574">
        <f t="shared" si="0"/>
        <v>0</v>
      </c>
    </row>
    <row r="53" spans="1:8" s="583" customFormat="1" ht="15" x14ac:dyDescent="0.25">
      <c r="A53" s="543" t="s">
        <v>1106</v>
      </c>
      <c r="B53" s="582"/>
      <c r="C53" s="576" t="s">
        <v>2313</v>
      </c>
      <c r="D53" s="577" t="s">
        <v>2484</v>
      </c>
      <c r="E53" s="588">
        <v>1.6519999999999995</v>
      </c>
      <c r="F53" s="574"/>
      <c r="G53" s="574">
        <f t="shared" si="0"/>
        <v>0</v>
      </c>
    </row>
    <row r="54" spans="1:8" ht="13.8" x14ac:dyDescent="0.25">
      <c r="A54" s="543" t="s">
        <v>1111</v>
      </c>
      <c r="B54" s="550"/>
      <c r="C54" s="576" t="s">
        <v>2314</v>
      </c>
      <c r="D54" s="577" t="s">
        <v>2484</v>
      </c>
      <c r="E54" s="588">
        <v>31.25</v>
      </c>
      <c r="F54" s="574"/>
      <c r="G54" s="574">
        <f t="shared" si="0"/>
        <v>0</v>
      </c>
      <c r="H54" s="550"/>
    </row>
    <row r="55" spans="1:8" ht="15.6" x14ac:dyDescent="0.3">
      <c r="A55" s="543" t="s">
        <v>1116</v>
      </c>
      <c r="B55" s="977"/>
      <c r="C55" s="973" t="s">
        <v>2315</v>
      </c>
      <c r="D55" s="974"/>
      <c r="E55" s="975"/>
      <c r="F55" s="975"/>
      <c r="G55" s="976"/>
      <c r="H55" s="976"/>
    </row>
    <row r="56" spans="1:8" x14ac:dyDescent="0.25">
      <c r="A56" s="543" t="s">
        <v>1121</v>
      </c>
      <c r="C56" s="576" t="s">
        <v>2316</v>
      </c>
      <c r="D56" s="577" t="s">
        <v>2317</v>
      </c>
      <c r="E56" s="588">
        <v>1</v>
      </c>
      <c r="F56" s="574"/>
      <c r="G56" s="574">
        <f>E56*F56</f>
        <v>0</v>
      </c>
    </row>
    <row r="57" spans="1:8" ht="15.6" x14ac:dyDescent="0.3">
      <c r="A57" s="543" t="s">
        <v>1125</v>
      </c>
      <c r="B57" s="977"/>
      <c r="C57" s="973" t="s">
        <v>2318</v>
      </c>
      <c r="D57" s="975"/>
      <c r="E57" s="975"/>
      <c r="F57" s="976"/>
      <c r="G57" s="976"/>
      <c r="H57" s="978"/>
    </row>
    <row r="58" spans="1:8" x14ac:dyDescent="0.25">
      <c r="A58" s="543" t="s">
        <v>1130</v>
      </c>
      <c r="C58" s="584" t="s">
        <v>2287</v>
      </c>
      <c r="D58" s="585" t="s">
        <v>140</v>
      </c>
      <c r="E58" s="589">
        <v>66</v>
      </c>
      <c r="F58" s="574"/>
      <c r="G58" s="574">
        <f t="shared" ref="G58:G76" si="1">E58*F58</f>
        <v>0</v>
      </c>
    </row>
    <row r="59" spans="1:8" x14ac:dyDescent="0.25">
      <c r="A59" s="543" t="s">
        <v>1134</v>
      </c>
      <c r="C59" s="584" t="s">
        <v>2485</v>
      </c>
      <c r="D59" s="585" t="s">
        <v>140</v>
      </c>
      <c r="E59" s="589">
        <v>3</v>
      </c>
      <c r="F59" s="574"/>
      <c r="G59" s="574">
        <f t="shared" si="1"/>
        <v>0</v>
      </c>
    </row>
    <row r="60" spans="1:8" x14ac:dyDescent="0.25">
      <c r="A60" s="543" t="s">
        <v>1139</v>
      </c>
      <c r="C60" s="584" t="s">
        <v>2486</v>
      </c>
      <c r="D60" s="585" t="s">
        <v>140</v>
      </c>
      <c r="E60" s="589">
        <v>4</v>
      </c>
      <c r="F60" s="574"/>
      <c r="G60" s="574">
        <f t="shared" si="1"/>
        <v>0</v>
      </c>
    </row>
    <row r="61" spans="1:8" x14ac:dyDescent="0.25">
      <c r="A61" s="543" t="s">
        <v>1143</v>
      </c>
      <c r="C61" s="584" t="s">
        <v>2487</v>
      </c>
      <c r="D61" s="585" t="s">
        <v>140</v>
      </c>
      <c r="E61" s="589">
        <v>52</v>
      </c>
      <c r="F61" s="574"/>
      <c r="G61" s="574">
        <f t="shared" si="1"/>
        <v>0</v>
      </c>
    </row>
    <row r="62" spans="1:8" x14ac:dyDescent="0.25">
      <c r="A62" s="543" t="s">
        <v>1148</v>
      </c>
      <c r="C62" s="584" t="s">
        <v>2488</v>
      </c>
      <c r="D62" s="585" t="s">
        <v>140</v>
      </c>
      <c r="E62" s="589">
        <v>7</v>
      </c>
      <c r="F62" s="574"/>
      <c r="G62" s="574">
        <f t="shared" si="1"/>
        <v>0</v>
      </c>
    </row>
    <row r="63" spans="1:8" ht="13.8" x14ac:dyDescent="0.25">
      <c r="A63" s="543" t="s">
        <v>1152</v>
      </c>
      <c r="C63" s="584" t="s">
        <v>2288</v>
      </c>
      <c r="D63" s="585" t="s">
        <v>2489</v>
      </c>
      <c r="E63" s="589">
        <v>1.44</v>
      </c>
      <c r="F63" s="574"/>
      <c r="G63" s="574">
        <f t="shared" si="1"/>
        <v>0</v>
      </c>
    </row>
    <row r="64" spans="1:8" x14ac:dyDescent="0.25">
      <c r="A64" s="543" t="s">
        <v>1157</v>
      </c>
      <c r="C64" s="584" t="s">
        <v>2289</v>
      </c>
      <c r="D64" s="585" t="s">
        <v>26</v>
      </c>
      <c r="E64" s="589">
        <v>1</v>
      </c>
      <c r="F64" s="574"/>
      <c r="G64" s="574">
        <f t="shared" si="1"/>
        <v>0</v>
      </c>
    </row>
    <row r="65" spans="1:8" ht="13.8" x14ac:dyDescent="0.25">
      <c r="A65" s="543" t="s">
        <v>1162</v>
      </c>
      <c r="C65" s="584" t="s">
        <v>2404</v>
      </c>
      <c r="D65" s="585" t="s">
        <v>2489</v>
      </c>
      <c r="E65" s="589">
        <v>0.76999999999999957</v>
      </c>
      <c r="F65" s="574"/>
      <c r="G65" s="574">
        <f t="shared" si="1"/>
        <v>0</v>
      </c>
    </row>
    <row r="66" spans="1:8" ht="13.8" x14ac:dyDescent="0.25">
      <c r="A66" s="543" t="s">
        <v>1167</v>
      </c>
      <c r="C66" s="584" t="s">
        <v>2290</v>
      </c>
      <c r="D66" s="585" t="s">
        <v>2489</v>
      </c>
      <c r="E66" s="589">
        <v>2.9049999999999998</v>
      </c>
      <c r="F66" s="574"/>
      <c r="G66" s="574">
        <f t="shared" si="1"/>
        <v>0</v>
      </c>
    </row>
    <row r="67" spans="1:8" x14ac:dyDescent="0.25">
      <c r="A67" s="543" t="s">
        <v>1172</v>
      </c>
      <c r="C67" s="584" t="s">
        <v>2291</v>
      </c>
      <c r="D67" s="585" t="s">
        <v>26</v>
      </c>
      <c r="E67" s="589">
        <v>2</v>
      </c>
      <c r="F67" s="574"/>
      <c r="G67" s="574">
        <f t="shared" si="1"/>
        <v>0</v>
      </c>
    </row>
    <row r="68" spans="1:8" x14ac:dyDescent="0.25">
      <c r="A68" s="543" t="s">
        <v>1177</v>
      </c>
      <c r="C68" s="584" t="s">
        <v>2292</v>
      </c>
      <c r="D68" s="585" t="s">
        <v>26</v>
      </c>
      <c r="E68" s="589">
        <v>2</v>
      </c>
      <c r="F68" s="574"/>
      <c r="G68" s="574">
        <f t="shared" si="1"/>
        <v>0</v>
      </c>
    </row>
    <row r="69" spans="1:8" x14ac:dyDescent="0.25">
      <c r="A69" s="543" t="s">
        <v>1183</v>
      </c>
      <c r="C69" s="576" t="s">
        <v>2293</v>
      </c>
      <c r="D69" s="577" t="s">
        <v>140</v>
      </c>
      <c r="E69" s="589">
        <v>198</v>
      </c>
      <c r="F69" s="574"/>
      <c r="G69" s="574">
        <f t="shared" si="1"/>
        <v>0</v>
      </c>
    </row>
    <row r="70" spans="1:8" x14ac:dyDescent="0.25">
      <c r="A70" s="543" t="s">
        <v>1188</v>
      </c>
      <c r="C70" s="584" t="s">
        <v>2294</v>
      </c>
      <c r="D70" s="585" t="s">
        <v>140</v>
      </c>
      <c r="E70" s="589">
        <v>177</v>
      </c>
      <c r="F70" s="574"/>
      <c r="G70" s="574">
        <f t="shared" si="1"/>
        <v>0</v>
      </c>
    </row>
    <row r="71" spans="1:8" x14ac:dyDescent="0.25">
      <c r="A71" s="543" t="s">
        <v>1193</v>
      </c>
      <c r="C71" s="584" t="s">
        <v>2295</v>
      </c>
      <c r="D71" s="585" t="s">
        <v>140</v>
      </c>
      <c r="E71" s="589">
        <v>21</v>
      </c>
      <c r="F71" s="574"/>
      <c r="G71" s="574">
        <f t="shared" si="1"/>
        <v>0</v>
      </c>
    </row>
    <row r="72" spans="1:8" x14ac:dyDescent="0.25">
      <c r="A72" s="543" t="s">
        <v>1198</v>
      </c>
      <c r="C72" s="584" t="s">
        <v>2296</v>
      </c>
      <c r="D72" s="585" t="s">
        <v>26</v>
      </c>
      <c r="E72" s="589">
        <v>5</v>
      </c>
      <c r="F72" s="574"/>
      <c r="G72" s="574">
        <f t="shared" si="1"/>
        <v>0</v>
      </c>
    </row>
    <row r="73" spans="1:8" ht="23.4" x14ac:dyDescent="0.25">
      <c r="A73" s="543" t="s">
        <v>1204</v>
      </c>
      <c r="C73" s="584" t="s">
        <v>2297</v>
      </c>
      <c r="D73" s="585" t="s">
        <v>26</v>
      </c>
      <c r="E73" s="589">
        <v>9</v>
      </c>
      <c r="F73" s="574"/>
      <c r="G73" s="574">
        <f t="shared" si="1"/>
        <v>0</v>
      </c>
    </row>
    <row r="74" spans="1:8" x14ac:dyDescent="0.25">
      <c r="A74" s="543" t="s">
        <v>1208</v>
      </c>
      <c r="C74" s="584" t="s">
        <v>2298</v>
      </c>
      <c r="D74" s="585" t="s">
        <v>26</v>
      </c>
      <c r="E74" s="589">
        <v>1</v>
      </c>
      <c r="F74" s="574"/>
      <c r="G74" s="574">
        <f t="shared" si="1"/>
        <v>0</v>
      </c>
    </row>
    <row r="75" spans="1:8" ht="23.4" x14ac:dyDescent="0.25">
      <c r="A75" s="543" t="s">
        <v>1212</v>
      </c>
      <c r="C75" s="586" t="s">
        <v>2299</v>
      </c>
      <c r="D75" s="585" t="s">
        <v>2300</v>
      </c>
      <c r="E75" s="589">
        <v>1</v>
      </c>
      <c r="F75" s="574"/>
      <c r="G75" s="574">
        <f t="shared" si="1"/>
        <v>0</v>
      </c>
    </row>
    <row r="76" spans="1:8" x14ac:dyDescent="0.25">
      <c r="A76" s="543" t="s">
        <v>1216</v>
      </c>
      <c r="C76" s="584" t="s">
        <v>2301</v>
      </c>
      <c r="D76" s="585" t="s">
        <v>140</v>
      </c>
      <c r="E76" s="589">
        <v>66</v>
      </c>
      <c r="F76" s="574"/>
      <c r="G76" s="574">
        <f t="shared" si="1"/>
        <v>0</v>
      </c>
    </row>
    <row r="77" spans="1:8" x14ac:dyDescent="0.25">
      <c r="A77" s="543" t="s">
        <v>1221</v>
      </c>
      <c r="B77" s="897"/>
      <c r="C77" s="898" t="s">
        <v>2634</v>
      </c>
      <c r="D77" s="899"/>
      <c r="E77" s="900"/>
      <c r="F77" s="901"/>
      <c r="G77" s="902"/>
      <c r="H77" s="903"/>
    </row>
    <row r="78" spans="1:8" ht="41.4" customHeight="1" x14ac:dyDescent="0.25">
      <c r="A78" s="543" t="s">
        <v>1225</v>
      </c>
      <c r="C78" s="551" t="s">
        <v>2483</v>
      </c>
      <c r="D78" s="551"/>
      <c r="E78" s="551"/>
      <c r="F78" s="550"/>
    </row>
  </sheetData>
  <phoneticPr fontId="12" type="noConversion"/>
  <conditionalFormatting sqref="F69">
    <cfRule type="expression" dxfId="7" priority="1" stopIfTrue="1">
      <formula>F69&gt;#REF!</formula>
    </cfRule>
    <cfRule type="expression" dxfId="6" priority="2" stopIfTrue="1">
      <formula>F69&lt;#REF!</formula>
    </cfRule>
  </conditionalFormatting>
  <conditionalFormatting sqref="F56">
    <cfRule type="expression" dxfId="5" priority="7" stopIfTrue="1">
      <formula>F56&gt;#REF!</formula>
    </cfRule>
    <cfRule type="expression" dxfId="4" priority="8" stopIfTrue="1">
      <formula>F56&lt;#REF!</formula>
    </cfRule>
  </conditionalFormatting>
  <conditionalFormatting sqref="F56">
    <cfRule type="expression" dxfId="3" priority="5" stopIfTrue="1">
      <formula>#REF!&gt;#REF!</formula>
    </cfRule>
    <cfRule type="expression" dxfId="2" priority="6" stopIfTrue="1">
      <formula>#REF!&lt;#REF!</formula>
    </cfRule>
  </conditionalFormatting>
  <conditionalFormatting sqref="F75:F76 F70:F71 F58:F68">
    <cfRule type="expression" dxfId="1" priority="3" stopIfTrue="1">
      <formula>F58&gt;#REF!</formula>
    </cfRule>
    <cfRule type="expression" dxfId="0" priority="4" stopIfTrue="1">
      <formula>F58&lt;#REF!</formula>
    </cfRule>
  </conditionalFormatting>
  <printOptions gridLines="1"/>
  <pageMargins left="0.59055118110236227" right="0.59055118110236227" top="0.59055118110236227" bottom="0.59055118110236227" header="0.31496062992125984" footer="0.31496062992125984"/>
  <pageSetup paperSize="9" scale="71" fitToHeight="100" orientation="portrait" r:id="rId1"/>
  <headerFooter>
    <oddFoote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R250"/>
  <sheetViews>
    <sheetView topLeftCell="A10" zoomScaleNormal="100" workbookViewId="0">
      <selection activeCell="F50" sqref="F50:F247"/>
    </sheetView>
  </sheetViews>
  <sheetFormatPr defaultRowHeight="13.2" x14ac:dyDescent="0.25"/>
  <cols>
    <col min="1" max="1" width="5.6640625" style="449" customWidth="1"/>
    <col min="2" max="2" width="10.5546875" style="520" customWidth="1"/>
    <col min="3" max="3" width="70" style="10" customWidth="1"/>
    <col min="4" max="4" width="4" style="102" customWidth="1"/>
    <col min="5" max="5" width="9" style="36" customWidth="1"/>
    <col min="6" max="7" width="9.109375" style="104" customWidth="1"/>
    <col min="8" max="8" width="9.109375" style="596" customWidth="1"/>
    <col min="9" max="16384" width="8.88671875" style="8"/>
  </cols>
  <sheetData>
    <row r="1" spans="1:18" s="15" customFormat="1" ht="13.8" x14ac:dyDescent="0.25">
      <c r="A1" s="449"/>
      <c r="B1" s="520"/>
      <c r="C1" s="590" t="s">
        <v>95</v>
      </c>
      <c r="D1" s="102"/>
      <c r="E1" s="36"/>
      <c r="F1" s="104"/>
      <c r="G1" s="104"/>
      <c r="H1" s="595"/>
      <c r="I1" s="452"/>
      <c r="J1" s="8"/>
      <c r="K1" s="8"/>
      <c r="L1" s="8"/>
      <c r="N1" s="429"/>
      <c r="O1" s="8"/>
      <c r="P1" s="8"/>
      <c r="Q1" s="8"/>
    </row>
    <row r="2" spans="1:18" x14ac:dyDescent="0.25">
      <c r="B2" s="439"/>
      <c r="C2" s="18" t="s">
        <v>96</v>
      </c>
      <c r="J2" s="19"/>
      <c r="K2" s="19"/>
      <c r="L2" s="18"/>
      <c r="M2" s="19"/>
      <c r="N2" s="19"/>
      <c r="O2" s="18"/>
      <c r="P2" s="19"/>
      <c r="Q2" s="18"/>
      <c r="R2" s="19"/>
    </row>
    <row r="3" spans="1:18" x14ac:dyDescent="0.25">
      <c r="B3" s="439"/>
      <c r="C3" s="591" t="s">
        <v>97</v>
      </c>
      <c r="O3" s="429"/>
    </row>
    <row r="4" spans="1:18" x14ac:dyDescent="0.25">
      <c r="B4" s="439"/>
      <c r="C4" s="19"/>
      <c r="F4" s="597"/>
      <c r="G4" s="597"/>
      <c r="O4" s="429"/>
    </row>
    <row r="5" spans="1:18" x14ac:dyDescent="0.25">
      <c r="C5" s="18"/>
      <c r="F5" s="597"/>
      <c r="G5" s="597"/>
      <c r="I5" s="452"/>
      <c r="N5" s="429"/>
    </row>
    <row r="6" spans="1:18" x14ac:dyDescent="0.25">
      <c r="B6" s="439"/>
      <c r="C6" s="18" t="s">
        <v>98</v>
      </c>
      <c r="F6" s="597"/>
      <c r="G6" s="597"/>
      <c r="J6" s="19"/>
      <c r="M6" s="19"/>
      <c r="O6" s="429"/>
    </row>
    <row r="7" spans="1:18" ht="13.8" x14ac:dyDescent="0.25">
      <c r="B7" s="439"/>
      <c r="C7" s="591" t="s">
        <v>436</v>
      </c>
      <c r="F7" s="597"/>
      <c r="G7" s="597"/>
      <c r="J7" s="19"/>
      <c r="M7" s="19"/>
      <c r="O7" s="429"/>
    </row>
    <row r="8" spans="1:18" x14ac:dyDescent="0.25">
      <c r="B8" s="439"/>
      <c r="C8" s="591"/>
      <c r="F8" s="597"/>
      <c r="G8" s="597"/>
      <c r="J8" s="19"/>
      <c r="M8" s="19"/>
      <c r="O8" s="429"/>
    </row>
    <row r="9" spans="1:18" x14ac:dyDescent="0.25">
      <c r="B9" s="439"/>
      <c r="C9" s="18"/>
      <c r="F9" s="597"/>
      <c r="G9" s="597"/>
      <c r="O9" s="429"/>
    </row>
    <row r="10" spans="1:18" x14ac:dyDescent="0.25">
      <c r="B10" s="439"/>
      <c r="C10" s="18"/>
      <c r="F10" s="597"/>
      <c r="G10" s="597"/>
      <c r="O10" s="429"/>
    </row>
    <row r="11" spans="1:18" x14ac:dyDescent="0.25">
      <c r="A11" s="449" t="s">
        <v>99</v>
      </c>
      <c r="B11" s="439"/>
      <c r="C11" s="18" t="s">
        <v>100</v>
      </c>
      <c r="F11" s="597"/>
      <c r="G11" s="597"/>
      <c r="O11" s="429"/>
    </row>
    <row r="12" spans="1:18" x14ac:dyDescent="0.25">
      <c r="A12" s="449" t="s">
        <v>101</v>
      </c>
      <c r="B12" s="439"/>
      <c r="C12" s="591" t="s">
        <v>435</v>
      </c>
      <c r="D12" s="102" t="s">
        <v>71</v>
      </c>
      <c r="F12" s="597"/>
      <c r="G12" s="979">
        <f>SUM(G48:G249)</f>
        <v>0</v>
      </c>
      <c r="O12" s="429"/>
      <c r="R12" s="10"/>
    </row>
    <row r="13" spans="1:18" x14ac:dyDescent="0.25">
      <c r="A13" s="449" t="s">
        <v>102</v>
      </c>
      <c r="B13" s="439"/>
      <c r="C13" s="18"/>
      <c r="F13" s="597"/>
      <c r="G13" s="597"/>
      <c r="J13" s="599"/>
      <c r="M13" s="10"/>
      <c r="O13" s="452"/>
      <c r="R13" s="10"/>
    </row>
    <row r="14" spans="1:18" x14ac:dyDescent="0.25">
      <c r="A14" s="449" t="s">
        <v>103</v>
      </c>
      <c r="B14" s="439"/>
      <c r="C14" s="18" t="s">
        <v>104</v>
      </c>
      <c r="D14" s="102" t="s">
        <v>71</v>
      </c>
      <c r="F14" s="597"/>
      <c r="G14" s="979">
        <f>SUM(G12:G13)</f>
        <v>0</v>
      </c>
      <c r="M14" s="10"/>
      <c r="O14" s="452"/>
      <c r="R14" s="10"/>
    </row>
    <row r="15" spans="1:18" x14ac:dyDescent="0.25">
      <c r="A15" s="449" t="s">
        <v>105</v>
      </c>
      <c r="B15" s="439"/>
      <c r="C15" s="18" t="s">
        <v>2543</v>
      </c>
      <c r="D15" s="102" t="s">
        <v>71</v>
      </c>
      <c r="E15" s="36">
        <v>0.03</v>
      </c>
      <c r="F15" s="597"/>
      <c r="G15" s="597">
        <f>G14*E15</f>
        <v>0</v>
      </c>
      <c r="O15" s="452"/>
    </row>
    <row r="16" spans="1:18" x14ac:dyDescent="0.25">
      <c r="A16" s="449" t="s">
        <v>107</v>
      </c>
      <c r="B16" s="439"/>
      <c r="C16" s="18" t="s">
        <v>108</v>
      </c>
      <c r="D16" s="102" t="s">
        <v>71</v>
      </c>
      <c r="F16" s="597"/>
      <c r="G16" s="979">
        <f>SUM(G14:G15)</f>
        <v>0</v>
      </c>
      <c r="O16" s="452"/>
    </row>
    <row r="17" spans="1:17" x14ac:dyDescent="0.25">
      <c r="A17" s="449" t="s">
        <v>109</v>
      </c>
      <c r="B17" s="439"/>
      <c r="C17" s="18" t="s">
        <v>110</v>
      </c>
      <c r="D17" s="102" t="s">
        <v>71</v>
      </c>
      <c r="E17" s="36">
        <v>0.21</v>
      </c>
      <c r="F17" s="597"/>
      <c r="G17" s="597">
        <f>G16*E17</f>
        <v>0</v>
      </c>
      <c r="O17" s="452"/>
    </row>
    <row r="18" spans="1:17" x14ac:dyDescent="0.25">
      <c r="A18" s="449" t="s">
        <v>111</v>
      </c>
      <c r="B18" s="439"/>
      <c r="C18" s="18"/>
      <c r="F18" s="597"/>
      <c r="G18" s="597"/>
      <c r="O18" s="452"/>
    </row>
    <row r="19" spans="1:17" x14ac:dyDescent="0.25">
      <c r="A19" s="449" t="s">
        <v>112</v>
      </c>
      <c r="B19" s="439"/>
      <c r="C19" s="18" t="s">
        <v>113</v>
      </c>
      <c r="D19" s="102" t="s">
        <v>71</v>
      </c>
      <c r="F19" s="597"/>
      <c r="G19" s="979">
        <f>SUM(G16:G17)</f>
        <v>0</v>
      </c>
      <c r="O19" s="452"/>
    </row>
    <row r="20" spans="1:17" x14ac:dyDescent="0.25">
      <c r="A20" s="449" t="s">
        <v>928</v>
      </c>
      <c r="B20" s="439"/>
      <c r="C20" s="18"/>
      <c r="F20" s="597"/>
      <c r="G20" s="598"/>
      <c r="O20" s="452"/>
    </row>
    <row r="21" spans="1:17" x14ac:dyDescent="0.25">
      <c r="A21" s="449" t="s">
        <v>934</v>
      </c>
    </row>
    <row r="22" spans="1:17" s="9" customFormat="1" ht="29.4" customHeight="1" x14ac:dyDescent="0.25">
      <c r="A22" s="517" t="s">
        <v>114</v>
      </c>
      <c r="B22" s="518" t="s">
        <v>432</v>
      </c>
      <c r="C22" s="519" t="s">
        <v>115</v>
      </c>
      <c r="D22" s="519" t="s">
        <v>116</v>
      </c>
      <c r="E22" s="454" t="s">
        <v>117</v>
      </c>
      <c r="F22" s="455" t="s">
        <v>118</v>
      </c>
      <c r="G22" s="450" t="s">
        <v>119</v>
      </c>
      <c r="H22" s="600" t="s">
        <v>607</v>
      </c>
      <c r="I22" s="6"/>
      <c r="L22" s="539"/>
      <c r="M22" s="540"/>
      <c r="O22" s="541"/>
      <c r="P22" s="540"/>
      <c r="Q22" s="542"/>
    </row>
    <row r="23" spans="1:17" x14ac:dyDescent="0.25">
      <c r="A23" s="449" t="s">
        <v>948</v>
      </c>
      <c r="C23" s="24" t="s">
        <v>142</v>
      </c>
    </row>
    <row r="24" spans="1:17" x14ac:dyDescent="0.25">
      <c r="A24" s="449" t="s">
        <v>967</v>
      </c>
      <c r="C24" s="24" t="s">
        <v>143</v>
      </c>
    </row>
    <row r="25" spans="1:17" ht="79.2" x14ac:dyDescent="0.25">
      <c r="A25" s="449" t="s">
        <v>974</v>
      </c>
      <c r="C25" s="10" t="s">
        <v>428</v>
      </c>
    </row>
    <row r="26" spans="1:17" ht="26.4" x14ac:dyDescent="0.25">
      <c r="A26" s="449" t="s">
        <v>980</v>
      </c>
      <c r="C26" s="10" t="s">
        <v>2360</v>
      </c>
    </row>
    <row r="27" spans="1:17" x14ac:dyDescent="0.25">
      <c r="A27" s="449" t="s">
        <v>990</v>
      </c>
      <c r="C27" s="10" t="s">
        <v>145</v>
      </c>
    </row>
    <row r="28" spans="1:17" ht="66" x14ac:dyDescent="0.25">
      <c r="A28" s="449" t="s">
        <v>996</v>
      </c>
      <c r="C28" s="10" t="s">
        <v>146</v>
      </c>
    </row>
    <row r="29" spans="1:17" x14ac:dyDescent="0.25">
      <c r="A29" s="449" t="s">
        <v>1002</v>
      </c>
      <c r="C29" s="24" t="s">
        <v>147</v>
      </c>
    </row>
    <row r="30" spans="1:17" ht="26.4" x14ac:dyDescent="0.25">
      <c r="A30" s="449" t="s">
        <v>1008</v>
      </c>
      <c r="C30" s="24" t="s">
        <v>148</v>
      </c>
    </row>
    <row r="31" spans="1:17" ht="39.6" x14ac:dyDescent="0.25">
      <c r="A31" s="449" t="s">
        <v>1012</v>
      </c>
      <c r="C31" s="10" t="s">
        <v>431</v>
      </c>
    </row>
    <row r="32" spans="1:17" x14ac:dyDescent="0.25">
      <c r="A32" s="449" t="s">
        <v>1018</v>
      </c>
      <c r="C32" s="10" t="s">
        <v>150</v>
      </c>
    </row>
    <row r="33" spans="1:8" x14ac:dyDescent="0.25">
      <c r="A33" s="449" t="s">
        <v>1022</v>
      </c>
      <c r="C33" s="10" t="s">
        <v>151</v>
      </c>
    </row>
    <row r="34" spans="1:8" x14ac:dyDescent="0.25">
      <c r="A34" s="449" t="s">
        <v>1026</v>
      </c>
      <c r="C34" s="10" t="s">
        <v>2358</v>
      </c>
    </row>
    <row r="35" spans="1:8" ht="26.4" x14ac:dyDescent="0.25">
      <c r="A35" s="449" t="s">
        <v>1030</v>
      </c>
      <c r="C35" s="10" t="s">
        <v>152</v>
      </c>
    </row>
    <row r="36" spans="1:8" ht="26.4" x14ac:dyDescent="0.25">
      <c r="A36" s="449" t="s">
        <v>1034</v>
      </c>
      <c r="C36" s="10" t="s">
        <v>153</v>
      </c>
    </row>
    <row r="37" spans="1:8" x14ac:dyDescent="0.25">
      <c r="A37" s="449" t="s">
        <v>1038</v>
      </c>
      <c r="C37" s="10" t="s">
        <v>154</v>
      </c>
    </row>
    <row r="38" spans="1:8" x14ac:dyDescent="0.25">
      <c r="A38" s="449" t="s">
        <v>1042</v>
      </c>
      <c r="C38" s="8" t="s">
        <v>2359</v>
      </c>
    </row>
    <row r="39" spans="1:8" ht="26.4" x14ac:dyDescent="0.25">
      <c r="A39" s="449" t="s">
        <v>1046</v>
      </c>
      <c r="C39" s="10" t="s">
        <v>2361</v>
      </c>
    </row>
    <row r="40" spans="1:8" ht="39.6" x14ac:dyDescent="0.25">
      <c r="A40" s="449" t="s">
        <v>1050</v>
      </c>
      <c r="C40" s="10" t="s">
        <v>282</v>
      </c>
    </row>
    <row r="41" spans="1:8" x14ac:dyDescent="0.25">
      <c r="A41" s="449" t="s">
        <v>1054</v>
      </c>
      <c r="C41" s="24" t="s">
        <v>2179</v>
      </c>
    </row>
    <row r="42" spans="1:8" x14ac:dyDescent="0.25">
      <c r="A42" s="449" t="s">
        <v>1058</v>
      </c>
      <c r="C42" s="24" t="s">
        <v>2355</v>
      </c>
    </row>
    <row r="43" spans="1:8" x14ac:dyDescent="0.25">
      <c r="A43" s="449" t="s">
        <v>1062</v>
      </c>
      <c r="C43" s="10" t="s">
        <v>30</v>
      </c>
    </row>
    <row r="44" spans="1:8" ht="26.4" x14ac:dyDescent="0.25">
      <c r="A44" s="449" t="s">
        <v>1066</v>
      </c>
      <c r="C44" s="10" t="s">
        <v>399</v>
      </c>
    </row>
    <row r="45" spans="1:8" x14ac:dyDescent="0.25">
      <c r="A45" s="449" t="s">
        <v>1070</v>
      </c>
      <c r="C45" s="10" t="s">
        <v>16</v>
      </c>
    </row>
    <row r="46" spans="1:8" x14ac:dyDescent="0.25">
      <c r="A46" s="449" t="s">
        <v>1075</v>
      </c>
      <c r="C46" s="10" t="s">
        <v>2357</v>
      </c>
    </row>
    <row r="47" spans="1:8" ht="13.8" x14ac:dyDescent="0.25">
      <c r="A47" s="449" t="s">
        <v>1079</v>
      </c>
      <c r="B47" s="980"/>
      <c r="C47" s="981" t="s">
        <v>0</v>
      </c>
      <c r="D47" s="982"/>
      <c r="E47" s="983"/>
      <c r="F47" s="984"/>
      <c r="G47" s="984"/>
      <c r="H47" s="985"/>
    </row>
    <row r="48" spans="1:8" x14ac:dyDescent="0.25">
      <c r="A48" s="449" t="s">
        <v>1083</v>
      </c>
      <c r="C48" s="10" t="s">
        <v>2444</v>
      </c>
    </row>
    <row r="49" spans="1:8" x14ac:dyDescent="0.25">
      <c r="A49" s="449" t="s">
        <v>1087</v>
      </c>
      <c r="C49" s="10" t="s">
        <v>1</v>
      </c>
    </row>
    <row r="50" spans="1:8" ht="26.4" x14ac:dyDescent="0.25">
      <c r="A50" s="449" t="s">
        <v>1092</v>
      </c>
      <c r="B50" s="520">
        <v>279113154</v>
      </c>
      <c r="C50" s="10" t="s">
        <v>400</v>
      </c>
      <c r="D50" s="102" t="s">
        <v>15</v>
      </c>
      <c r="E50" s="36">
        <f>1.45*(0.9*4+1.53*6+0.94*6+0.53)</f>
        <v>27.477499999999999</v>
      </c>
      <c r="G50" s="104">
        <f>E50*F50</f>
        <v>0</v>
      </c>
      <c r="H50" s="596">
        <f>0.71546*E50</f>
        <v>19.659052149999997</v>
      </c>
    </row>
    <row r="51" spans="1:8" x14ac:dyDescent="0.25">
      <c r="A51" s="449" t="s">
        <v>1097</v>
      </c>
      <c r="C51" s="592" t="s">
        <v>52</v>
      </c>
    </row>
    <row r="52" spans="1:8" ht="26.4" x14ac:dyDescent="0.25">
      <c r="A52" s="449" t="s">
        <v>1102</v>
      </c>
      <c r="B52" s="520">
        <v>279113151</v>
      </c>
      <c r="C52" s="10" t="s">
        <v>401</v>
      </c>
      <c r="D52" s="102" t="s">
        <v>15</v>
      </c>
      <c r="E52" s="36">
        <f>1.45*(1.25+0.7)</f>
        <v>2.8274999999999997</v>
      </c>
      <c r="G52" s="104">
        <f>E52*F52</f>
        <v>0</v>
      </c>
      <c r="H52" s="596">
        <f>0.36277*E52</f>
        <v>1.0257321749999999</v>
      </c>
    </row>
    <row r="53" spans="1:8" x14ac:dyDescent="0.25">
      <c r="A53" s="449" t="s">
        <v>1106</v>
      </c>
      <c r="C53" s="592" t="s">
        <v>53</v>
      </c>
    </row>
    <row r="54" spans="1:8" ht="26.4" x14ac:dyDescent="0.25">
      <c r="A54" s="449" t="s">
        <v>1111</v>
      </c>
      <c r="B54" s="520">
        <v>279113156</v>
      </c>
      <c r="C54" s="10" t="s">
        <v>402</v>
      </c>
      <c r="D54" s="102" t="s">
        <v>15</v>
      </c>
      <c r="E54" s="36">
        <v>23.1</v>
      </c>
      <c r="G54" s="104">
        <f>E54*F54</f>
        <v>0</v>
      </c>
      <c r="H54" s="596">
        <f>1.20855*E54</f>
        <v>27.917505000000002</v>
      </c>
    </row>
    <row r="55" spans="1:8" x14ac:dyDescent="0.25">
      <c r="A55" s="449" t="s">
        <v>1116</v>
      </c>
      <c r="C55" s="592" t="s">
        <v>437</v>
      </c>
    </row>
    <row r="56" spans="1:8" ht="52.8" x14ac:dyDescent="0.25">
      <c r="A56" s="449" t="s">
        <v>1121</v>
      </c>
      <c r="B56" s="520">
        <v>279361821</v>
      </c>
      <c r="C56" s="10" t="s">
        <v>438</v>
      </c>
      <c r="D56" s="102" t="s">
        <v>45</v>
      </c>
      <c r="E56" s="36">
        <f>0.97*16*(23.1+2.83+27.48)*1.2*0.001</f>
        <v>0.9947078399999999</v>
      </c>
      <c r="G56" s="104">
        <f>E56*F56</f>
        <v>0</v>
      </c>
      <c r="H56" s="596">
        <f>1.0584*E56</f>
        <v>1.052798777856</v>
      </c>
    </row>
    <row r="57" spans="1:8" x14ac:dyDescent="0.25">
      <c r="A57" s="449" t="s">
        <v>1125</v>
      </c>
      <c r="B57" s="520">
        <v>275321511</v>
      </c>
      <c r="C57" s="10" t="s">
        <v>403</v>
      </c>
      <c r="D57" s="102" t="s">
        <v>2</v>
      </c>
      <c r="E57" s="36">
        <f xml:space="preserve"> 0.9*1.45*1.08+(0.9*1.95*0.97)</f>
        <v>3.1117499999999998</v>
      </c>
      <c r="G57" s="104">
        <f>E57*F57</f>
        <v>0</v>
      </c>
      <c r="H57" s="596">
        <f>2.45329*E57</f>
        <v>7.6340251574999991</v>
      </c>
    </row>
    <row r="58" spans="1:8" x14ac:dyDescent="0.25">
      <c r="A58" s="449" t="s">
        <v>1130</v>
      </c>
      <c r="C58" s="592" t="s">
        <v>439</v>
      </c>
    </row>
    <row r="59" spans="1:8" ht="26.4" x14ac:dyDescent="0.25">
      <c r="A59" s="449" t="s">
        <v>1134</v>
      </c>
      <c r="B59" s="520">
        <v>275351121</v>
      </c>
      <c r="C59" s="10" t="s">
        <v>404</v>
      </c>
      <c r="D59" s="102" t="s">
        <v>15</v>
      </c>
      <c r="E59" s="36">
        <f>(1.8+1.45+0.9+0.5+0.9+1.95)*1.08+(0.3*1.45)+(0.35*1.45)*2+(0.3*0.35)*2</f>
        <v>9.7600000000000033</v>
      </c>
      <c r="G59" s="104">
        <f>E59*F59</f>
        <v>0</v>
      </c>
      <c r="H59" s="596">
        <f>0.00264*E59</f>
        <v>2.5766400000000009E-2</v>
      </c>
    </row>
    <row r="60" spans="1:8" x14ac:dyDescent="0.25">
      <c r="A60" s="449" t="s">
        <v>1139</v>
      </c>
      <c r="B60" s="520">
        <v>275351122</v>
      </c>
      <c r="C60" s="10" t="s">
        <v>405</v>
      </c>
      <c r="D60" s="102" t="s">
        <v>15</v>
      </c>
      <c r="E60" s="36">
        <f>E59</f>
        <v>9.7600000000000033</v>
      </c>
      <c r="G60" s="104">
        <f>E60*F60</f>
        <v>0</v>
      </c>
      <c r="H60" s="596">
        <v>0</v>
      </c>
    </row>
    <row r="61" spans="1:8" ht="26.4" x14ac:dyDescent="0.25">
      <c r="A61" s="449" t="s">
        <v>1143</v>
      </c>
      <c r="B61" s="520" t="s">
        <v>57</v>
      </c>
      <c r="C61" s="20" t="s">
        <v>2395</v>
      </c>
      <c r="D61" s="102" t="s">
        <v>45</v>
      </c>
      <c r="E61" s="36">
        <f>0.97*6*0.89*9.7*1.2*0.001</f>
        <v>6.0292871999999997E-2</v>
      </c>
      <c r="G61" s="104">
        <f>E61*F61</f>
        <v>0</v>
      </c>
      <c r="H61" s="596">
        <f>1.06062*E61</f>
        <v>6.3947825900639993E-2</v>
      </c>
    </row>
    <row r="62" spans="1:8" ht="52.8" x14ac:dyDescent="0.25">
      <c r="A62" s="449" t="s">
        <v>1148</v>
      </c>
      <c r="B62" s="520">
        <v>275362021</v>
      </c>
      <c r="C62" s="10" t="s">
        <v>444</v>
      </c>
      <c r="D62" s="102" t="s">
        <v>45</v>
      </c>
      <c r="E62" s="36">
        <f>7.9*9.76*0.001*1.2</f>
        <v>9.2524800000000004E-2</v>
      </c>
      <c r="G62" s="104">
        <f>E62*F62</f>
        <v>0</v>
      </c>
      <c r="H62" s="596">
        <f>1.06277*E62</f>
        <v>9.833258169600001E-2</v>
      </c>
    </row>
    <row r="63" spans="1:8" ht="39.6" x14ac:dyDescent="0.25">
      <c r="A63" s="449" t="s">
        <v>1152</v>
      </c>
      <c r="B63" s="520">
        <v>273321511</v>
      </c>
      <c r="C63" s="10" t="s">
        <v>440</v>
      </c>
      <c r="D63" s="102" t="s">
        <v>2</v>
      </c>
      <c r="E63" s="103">
        <f xml:space="preserve"> 0.15*1.35*((0.9*7+0.3*7+0.15*2+0.68)+(0.3*7+0.9*5+0.38+1.7)+1)+0.25*1.35*2</f>
        <v>4.534650000000001</v>
      </c>
      <c r="G63" s="104">
        <f>E63*F63</f>
        <v>0</v>
      </c>
      <c r="H63" s="596">
        <f>2.45329*E63</f>
        <v>11.124811498500002</v>
      </c>
    </row>
    <row r="64" spans="1:8" ht="52.8" x14ac:dyDescent="0.25">
      <c r="A64" s="449" t="s">
        <v>1157</v>
      </c>
      <c r="C64" s="10" t="s">
        <v>65</v>
      </c>
    </row>
    <row r="65" spans="1:8" ht="39.6" x14ac:dyDescent="0.25">
      <c r="A65" s="449" t="s">
        <v>1162</v>
      </c>
      <c r="B65" s="520">
        <v>273362132</v>
      </c>
      <c r="C65" s="10" t="s">
        <v>441</v>
      </c>
      <c r="D65" s="102" t="s">
        <v>45</v>
      </c>
      <c r="E65" s="36">
        <f>7.9*2*33.95*0.001*1.2</f>
        <v>0.64369200000000004</v>
      </c>
      <c r="G65" s="104">
        <f>E65*F65</f>
        <v>0</v>
      </c>
      <c r="H65" s="596">
        <f>1.04145*E65</f>
        <v>0.67037303339999998</v>
      </c>
    </row>
    <row r="66" spans="1:8" ht="26.4" x14ac:dyDescent="0.25">
      <c r="A66" s="449" t="s">
        <v>1167</v>
      </c>
      <c r="B66" s="520">
        <v>274321511</v>
      </c>
      <c r="C66" s="10" t="s">
        <v>608</v>
      </c>
      <c r="D66" s="102" t="s">
        <v>2</v>
      </c>
      <c r="E66" s="457">
        <f>( 0.2*(0.3*1.45)*17)+0.2*(0.15*1.45)*2 +( 0.2*(24.2*0.5))</f>
        <v>3.9859999999999998</v>
      </c>
      <c r="G66" s="104">
        <f>E66*F66</f>
        <v>0</v>
      </c>
      <c r="H66" s="596">
        <f>2.45329*E66</f>
        <v>9.7788139399999991</v>
      </c>
    </row>
    <row r="67" spans="1:8" ht="26.4" x14ac:dyDescent="0.25">
      <c r="A67" s="449" t="s">
        <v>1172</v>
      </c>
      <c r="C67" s="10" t="s">
        <v>446</v>
      </c>
    </row>
    <row r="68" spans="1:8" x14ac:dyDescent="0.25">
      <c r="A68" s="449" t="s">
        <v>1177</v>
      </c>
      <c r="B68" s="520">
        <v>274354111</v>
      </c>
      <c r="C68" s="10" t="s">
        <v>609</v>
      </c>
      <c r="D68" s="102" t="s">
        <v>15</v>
      </c>
      <c r="E68" s="36">
        <f>0.2*(0.3+1.45)*2*17+0.2*(0.15+1.45)*2*2 +0.2*(24.2+0.5)*2+0.15*0.5*7</f>
        <v>23.585000000000001</v>
      </c>
      <c r="G68" s="104">
        <f>E68*F68</f>
        <v>0</v>
      </c>
      <c r="H68" s="596">
        <f>0.00144 *E68</f>
        <v>3.3962400000000004E-2</v>
      </c>
    </row>
    <row r="69" spans="1:8" ht="26.4" x14ac:dyDescent="0.25">
      <c r="A69" s="449" t="s">
        <v>1183</v>
      </c>
      <c r="C69" s="10" t="s">
        <v>445</v>
      </c>
    </row>
    <row r="70" spans="1:8" x14ac:dyDescent="0.25">
      <c r="A70" s="449" t="s">
        <v>1188</v>
      </c>
      <c r="B70" s="520">
        <v>274354211</v>
      </c>
      <c r="C70" s="10" t="s">
        <v>610</v>
      </c>
      <c r="D70" s="102" t="s">
        <v>15</v>
      </c>
      <c r="E70" s="36">
        <f>E68</f>
        <v>23.585000000000001</v>
      </c>
      <c r="G70" s="104">
        <f>E70*F70</f>
        <v>0</v>
      </c>
      <c r="H70" s="596">
        <v>0</v>
      </c>
    </row>
    <row r="71" spans="1:8" ht="26.4" x14ac:dyDescent="0.25">
      <c r="A71" s="449" t="s">
        <v>1193</v>
      </c>
      <c r="B71" s="520">
        <v>274361821</v>
      </c>
      <c r="C71" s="10" t="s">
        <v>611</v>
      </c>
      <c r="D71" s="102" t="s">
        <v>45</v>
      </c>
      <c r="E71" s="36">
        <f>0.05*E66</f>
        <v>0.1993</v>
      </c>
      <c r="G71" s="104">
        <f>E71*F71</f>
        <v>0</v>
      </c>
      <c r="H71" s="596">
        <f>1.06062*E71</f>
        <v>0.21138156599999999</v>
      </c>
    </row>
    <row r="72" spans="1:8" x14ac:dyDescent="0.25">
      <c r="A72" s="449" t="s">
        <v>1198</v>
      </c>
      <c r="B72" s="520">
        <v>998012021</v>
      </c>
      <c r="C72" s="10" t="s">
        <v>613</v>
      </c>
      <c r="D72" s="102" t="s">
        <v>45</v>
      </c>
      <c r="E72" s="36">
        <f>SUM(H50:H71)</f>
        <v>79.296502505852644</v>
      </c>
      <c r="G72" s="104">
        <f>E72*F72</f>
        <v>0</v>
      </c>
    </row>
    <row r="73" spans="1:8" x14ac:dyDescent="0.25">
      <c r="A73" s="449" t="s">
        <v>1204</v>
      </c>
      <c r="B73" s="980"/>
      <c r="C73" s="948" t="s">
        <v>14</v>
      </c>
      <c r="D73" s="982"/>
      <c r="E73" s="983"/>
      <c r="F73" s="984"/>
      <c r="G73" s="984"/>
      <c r="H73" s="985"/>
    </row>
    <row r="74" spans="1:8" ht="26.4" x14ac:dyDescent="0.25">
      <c r="A74" s="449" t="s">
        <v>1208</v>
      </c>
      <c r="B74" s="520" t="s">
        <v>186</v>
      </c>
      <c r="C74" s="20" t="s">
        <v>2496</v>
      </c>
      <c r="D74" s="102" t="s">
        <v>15</v>
      </c>
      <c r="E74" s="36">
        <f>E75+E76</f>
        <v>27.714999999999996</v>
      </c>
      <c r="G74" s="104">
        <f>E74*F74</f>
        <v>0</v>
      </c>
    </row>
    <row r="75" spans="1:8" ht="26.4" x14ac:dyDescent="0.25">
      <c r="A75" s="449" t="s">
        <v>1212</v>
      </c>
      <c r="C75" s="10" t="s">
        <v>443</v>
      </c>
      <c r="D75" s="102" t="s">
        <v>15</v>
      </c>
      <c r="E75" s="36">
        <f>1.15*((20.4+2.7-0.25-0.6+0.05))</f>
        <v>25.644999999999996</v>
      </c>
    </row>
    <row r="76" spans="1:8" x14ac:dyDescent="0.25">
      <c r="A76" s="449" t="s">
        <v>1216</v>
      </c>
      <c r="C76" s="10" t="s">
        <v>24</v>
      </c>
      <c r="D76" s="102" t="s">
        <v>15</v>
      </c>
      <c r="E76" s="36">
        <f>1.15*(0.15*12)</f>
        <v>2.0699999999999998</v>
      </c>
    </row>
    <row r="77" spans="1:8" ht="26.4" x14ac:dyDescent="0.25">
      <c r="A77" s="449" t="s">
        <v>1221</v>
      </c>
      <c r="B77" s="520" t="s">
        <v>186</v>
      </c>
      <c r="C77" s="10" t="s">
        <v>406</v>
      </c>
      <c r="D77" s="102" t="s">
        <v>15</v>
      </c>
      <c r="E77" s="36">
        <v>27.72</v>
      </c>
      <c r="G77" s="104">
        <f>E77*F77</f>
        <v>0</v>
      </c>
      <c r="H77" s="601"/>
    </row>
    <row r="78" spans="1:8" ht="26.4" x14ac:dyDescent="0.25">
      <c r="A78" s="449" t="s">
        <v>1225</v>
      </c>
      <c r="B78" s="520" t="s">
        <v>186</v>
      </c>
      <c r="C78" s="10" t="s">
        <v>449</v>
      </c>
      <c r="D78" s="102" t="s">
        <v>28</v>
      </c>
      <c r="E78" s="36">
        <f>SUM(E80+E79)</f>
        <v>50.649999999999991</v>
      </c>
      <c r="G78" s="104">
        <f>E78*F78</f>
        <v>0</v>
      </c>
    </row>
    <row r="79" spans="1:8" x14ac:dyDescent="0.25">
      <c r="A79" s="449" t="s">
        <v>1230</v>
      </c>
      <c r="C79" s="10" t="s">
        <v>448</v>
      </c>
      <c r="D79" s="102" t="s">
        <v>28</v>
      </c>
      <c r="E79" s="36">
        <f>((20.4+2.7+0.05+0.1*2))*2+(1.35+0.8)</f>
        <v>48.849999999999994</v>
      </c>
    </row>
    <row r="80" spans="1:8" ht="26.4" x14ac:dyDescent="0.25">
      <c r="A80" s="449" t="s">
        <v>1236</v>
      </c>
      <c r="C80" s="10" t="s">
        <v>450</v>
      </c>
      <c r="D80" s="102" t="s">
        <v>28</v>
      </c>
      <c r="E80" s="36">
        <f>0.15*12</f>
        <v>1.7999999999999998</v>
      </c>
    </row>
    <row r="81" spans="1:10" ht="26.4" x14ac:dyDescent="0.25">
      <c r="A81" s="449" t="s">
        <v>1258</v>
      </c>
      <c r="B81" s="520" t="s">
        <v>186</v>
      </c>
      <c r="C81" s="10" t="s">
        <v>406</v>
      </c>
      <c r="D81" s="102" t="s">
        <v>28</v>
      </c>
      <c r="E81" s="36">
        <v>50.65</v>
      </c>
      <c r="G81" s="104">
        <f>E81*F81</f>
        <v>0</v>
      </c>
    </row>
    <row r="82" spans="1:10" x14ac:dyDescent="0.25">
      <c r="A82" s="449" t="s">
        <v>1262</v>
      </c>
      <c r="B82" s="520" t="s">
        <v>186</v>
      </c>
      <c r="C82" s="31" t="s">
        <v>451</v>
      </c>
      <c r="D82" s="102" t="s">
        <v>15</v>
      </c>
      <c r="E82" s="36">
        <f>E83+E84+E85+E86</f>
        <v>43.820499999999988</v>
      </c>
      <c r="G82" s="104">
        <f>E82*F82</f>
        <v>0</v>
      </c>
    </row>
    <row r="83" spans="1:10" x14ac:dyDescent="0.25">
      <c r="A83" s="449" t="s">
        <v>1266</v>
      </c>
      <c r="C83" s="35" t="s">
        <v>20</v>
      </c>
      <c r="D83" s="102" t="s">
        <v>15</v>
      </c>
      <c r="E83" s="36">
        <f>1.35*((20.4+2.7-0.25-0.6+0.05+0.1*2))</f>
        <v>30.374999999999996</v>
      </c>
    </row>
    <row r="84" spans="1:10" x14ac:dyDescent="0.25">
      <c r="A84" s="449" t="s">
        <v>1270</v>
      </c>
      <c r="C84" s="10" t="s">
        <v>22</v>
      </c>
      <c r="D84" s="102" t="s">
        <v>15</v>
      </c>
      <c r="E84" s="36">
        <f>1.35*(0.15*12)</f>
        <v>2.4299999999999997</v>
      </c>
    </row>
    <row r="85" spans="1:10" x14ac:dyDescent="0.25">
      <c r="A85" s="449" t="s">
        <v>1274</v>
      </c>
      <c r="C85" s="35" t="s">
        <v>17</v>
      </c>
      <c r="E85" s="36">
        <f>0.13*((20.4+2.7+0.05+0.1*2))*2+0.13*(1.35+0.8)</f>
        <v>6.3505000000000003</v>
      </c>
    </row>
    <row r="86" spans="1:10" x14ac:dyDescent="0.25">
      <c r="A86" s="449" t="s">
        <v>1278</v>
      </c>
      <c r="C86" s="24" t="s">
        <v>18</v>
      </c>
      <c r="D86" s="102" t="s">
        <v>15</v>
      </c>
      <c r="E86" s="36">
        <f>0.05*((20.4+2.7+0.05))*2+0.05*(1.35+0.8)+1.15*0.05*39</f>
        <v>4.6649999999999991</v>
      </c>
    </row>
    <row r="87" spans="1:10" ht="39.6" x14ac:dyDescent="0.25">
      <c r="A87" s="449" t="s">
        <v>1288</v>
      </c>
      <c r="B87" s="520">
        <v>711490001</v>
      </c>
      <c r="C87" s="24" t="s">
        <v>2497</v>
      </c>
      <c r="D87" s="102" t="s">
        <v>15</v>
      </c>
      <c r="E87" s="36">
        <f>SUM(E88:E89)</f>
        <v>32.804999999999993</v>
      </c>
      <c r="G87" s="104">
        <f>E87*F87</f>
        <v>0</v>
      </c>
    </row>
    <row r="88" spans="1:10" x14ac:dyDescent="0.25">
      <c r="A88" s="449" t="s">
        <v>1292</v>
      </c>
      <c r="C88" s="10" t="s">
        <v>2399</v>
      </c>
      <c r="E88" s="36">
        <f>1.35*((20.4+2.7-0.25-0.6+0.05+0.1*2))</f>
        <v>30.374999999999996</v>
      </c>
    </row>
    <row r="89" spans="1:10" x14ac:dyDescent="0.25">
      <c r="A89" s="449" t="s">
        <v>1298</v>
      </c>
      <c r="C89" s="10" t="s">
        <v>22</v>
      </c>
      <c r="E89" s="36">
        <f>1.35*(0.15*12)</f>
        <v>2.4299999999999997</v>
      </c>
      <c r="J89" s="19"/>
    </row>
    <row r="90" spans="1:10" x14ac:dyDescent="0.25">
      <c r="A90" s="449" t="s">
        <v>1302</v>
      </c>
      <c r="B90" s="520">
        <v>711490002</v>
      </c>
      <c r="C90" s="20" t="s">
        <v>59</v>
      </c>
      <c r="D90" s="102" t="s">
        <v>15</v>
      </c>
      <c r="E90" s="36">
        <f>SUM(E91:E92)</f>
        <v>19.637699999999999</v>
      </c>
      <c r="G90" s="104">
        <f>E90*F90</f>
        <v>0</v>
      </c>
    </row>
    <row r="91" spans="1:10" x14ac:dyDescent="0.25">
      <c r="A91" s="449" t="s">
        <v>1307</v>
      </c>
      <c r="C91" s="35" t="s">
        <v>17</v>
      </c>
      <c r="E91" s="36">
        <f>0.13*((20.4+2.7+0.05+0.1*2))*2+0.13*(1.35+0.8)</f>
        <v>6.3505000000000003</v>
      </c>
    </row>
    <row r="92" spans="1:10" ht="26.4" x14ac:dyDescent="0.25">
      <c r="A92" s="449" t="s">
        <v>1313</v>
      </c>
      <c r="C92" s="10" t="s">
        <v>23</v>
      </c>
      <c r="E92" s="36">
        <f>(0.13+0.13+0.012)*(20.4+2.7+0.05+0.1*2)*2+(0.13+0.13+0.012)*(1.35+0.8)</f>
        <v>13.287199999999999</v>
      </c>
    </row>
    <row r="93" spans="1:10" ht="26.4" x14ac:dyDescent="0.25">
      <c r="A93" s="449" t="s">
        <v>1318</v>
      </c>
      <c r="B93" s="520" t="s">
        <v>58</v>
      </c>
      <c r="C93" s="24" t="s">
        <v>407</v>
      </c>
      <c r="D93" s="102" t="s">
        <v>15</v>
      </c>
      <c r="E93" s="36">
        <f>E94+E95</f>
        <v>32.804999999999993</v>
      </c>
      <c r="G93" s="104">
        <f>E93*F93</f>
        <v>0</v>
      </c>
    </row>
    <row r="94" spans="1:10" x14ac:dyDescent="0.25">
      <c r="A94" s="449" t="s">
        <v>1323</v>
      </c>
      <c r="C94" s="10" t="s">
        <v>21</v>
      </c>
      <c r="E94" s="36">
        <f>1.35*((20.4+2.7-0.25-0.6+0.05+0.1*2))</f>
        <v>30.374999999999996</v>
      </c>
    </row>
    <row r="95" spans="1:10" x14ac:dyDescent="0.25">
      <c r="A95" s="449" t="s">
        <v>1329</v>
      </c>
      <c r="C95" s="10" t="s">
        <v>22</v>
      </c>
      <c r="E95" s="36">
        <f>1.35*(0.15*12)</f>
        <v>2.4299999999999997</v>
      </c>
    </row>
    <row r="96" spans="1:10" x14ac:dyDescent="0.25">
      <c r="A96" s="449" t="s">
        <v>1333</v>
      </c>
      <c r="C96" s="10" t="s">
        <v>2498</v>
      </c>
      <c r="D96" s="102" t="s">
        <v>71</v>
      </c>
      <c r="E96" s="36">
        <v>2.1000000000000001E-2</v>
      </c>
      <c r="G96" s="104">
        <f>E96*F96</f>
        <v>0</v>
      </c>
    </row>
    <row r="97" spans="1:8" ht="26.4" x14ac:dyDescent="0.25">
      <c r="A97" s="449" t="s">
        <v>696</v>
      </c>
      <c r="B97" s="520">
        <v>273321511</v>
      </c>
      <c r="C97" s="20" t="s">
        <v>61</v>
      </c>
      <c r="D97" s="102" t="s">
        <v>2</v>
      </c>
      <c r="E97" s="36">
        <f>0.15*1.35*((0.9*7+0.3*7+0.15*2+0.68)+(0.3*7+0.9*5+0.38+1.7)+1)+0.25*1.35*2</f>
        <v>4.534650000000001</v>
      </c>
      <c r="G97" s="104">
        <f>E97*F97</f>
        <v>0</v>
      </c>
      <c r="H97" s="596">
        <f>2.45329*E97</f>
        <v>11.124811498500002</v>
      </c>
    </row>
    <row r="98" spans="1:8" x14ac:dyDescent="0.25">
      <c r="A98" s="449" t="s">
        <v>1348</v>
      </c>
      <c r="C98" s="10" t="s">
        <v>64</v>
      </c>
    </row>
    <row r="99" spans="1:8" ht="39.6" x14ac:dyDescent="0.25">
      <c r="A99" s="449" t="s">
        <v>1353</v>
      </c>
      <c r="B99" s="520">
        <v>273362132</v>
      </c>
      <c r="C99" s="10" t="s">
        <v>408</v>
      </c>
      <c r="D99" s="102" t="s">
        <v>45</v>
      </c>
      <c r="E99" s="36">
        <f>60.91*0.0079</f>
        <v>0.48118900000000003</v>
      </c>
      <c r="G99" s="104">
        <f>E99*F99</f>
        <v>0</v>
      </c>
      <c r="H99" s="596">
        <f>1.04145*E99</f>
        <v>0.50113428405000005</v>
      </c>
    </row>
    <row r="100" spans="1:8" ht="26.4" x14ac:dyDescent="0.25">
      <c r="A100" s="449" t="s">
        <v>1358</v>
      </c>
      <c r="C100" s="10" t="s">
        <v>25</v>
      </c>
    </row>
    <row r="101" spans="1:8" x14ac:dyDescent="0.25">
      <c r="A101" s="449" t="s">
        <v>1363</v>
      </c>
      <c r="B101" s="520">
        <v>273351121</v>
      </c>
      <c r="C101" s="20" t="s">
        <v>49</v>
      </c>
      <c r="D101" s="102" t="s">
        <v>15</v>
      </c>
      <c r="E101" s="103">
        <f>1.45*2+0.45*2+1.45*2</f>
        <v>6.6999999999999993</v>
      </c>
      <c r="G101" s="104">
        <f>E101*F101</f>
        <v>0</v>
      </c>
      <c r="H101" s="596">
        <f>0.00247*E101</f>
        <v>1.6548999999999998E-2</v>
      </c>
    </row>
    <row r="102" spans="1:8" x14ac:dyDescent="0.25">
      <c r="A102" s="449" t="s">
        <v>1367</v>
      </c>
      <c r="C102" s="10" t="s">
        <v>60</v>
      </c>
    </row>
    <row r="103" spans="1:8" x14ac:dyDescent="0.25">
      <c r="A103" s="449" t="s">
        <v>1375</v>
      </c>
      <c r="B103" s="520">
        <v>273351122</v>
      </c>
      <c r="C103" s="20" t="s">
        <v>48</v>
      </c>
      <c r="D103" s="102" t="s">
        <v>15</v>
      </c>
      <c r="E103" s="36">
        <f>E101</f>
        <v>6.6999999999999993</v>
      </c>
      <c r="G103" s="104">
        <f>E103*F103</f>
        <v>0</v>
      </c>
      <c r="H103" s="596">
        <f>0*E103</f>
        <v>0</v>
      </c>
    </row>
    <row r="104" spans="1:8" ht="26.4" x14ac:dyDescent="0.25">
      <c r="A104" s="449" t="s">
        <v>1381</v>
      </c>
      <c r="B104" s="520">
        <v>271532212</v>
      </c>
      <c r="C104" s="20" t="s">
        <v>442</v>
      </c>
      <c r="D104" s="102" t="s">
        <v>2</v>
      </c>
      <c r="E104" s="103">
        <f>(11.3+1.8+1.25+1.5+8.7)*1.45*0.25</f>
        <v>8.8993749999999991</v>
      </c>
      <c r="G104" s="104">
        <f>E104*F104</f>
        <v>0</v>
      </c>
      <c r="H104" s="596">
        <f>2.16 *E104</f>
        <v>19.222649999999998</v>
      </c>
    </row>
    <row r="105" spans="1:8" x14ac:dyDescent="0.25">
      <c r="A105" s="449" t="s">
        <v>1386</v>
      </c>
      <c r="C105" s="35" t="s">
        <v>447</v>
      </c>
    </row>
    <row r="106" spans="1:8" ht="26.4" x14ac:dyDescent="0.25">
      <c r="A106" s="449" t="s">
        <v>1391</v>
      </c>
      <c r="B106" s="520" t="s">
        <v>50</v>
      </c>
      <c r="C106" s="10" t="s">
        <v>452</v>
      </c>
      <c r="D106" s="102" t="s">
        <v>51</v>
      </c>
      <c r="E106" s="36">
        <f>52.49*19.5</f>
        <v>1023.5550000000001</v>
      </c>
      <c r="G106" s="104">
        <f>E106*F106</f>
        <v>0</v>
      </c>
      <c r="H106" s="596">
        <f>0.01784*E106</f>
        <v>18.260221200000004</v>
      </c>
    </row>
    <row r="107" spans="1:8" ht="26.4" x14ac:dyDescent="0.25">
      <c r="A107" s="449" t="s">
        <v>1399</v>
      </c>
      <c r="B107" s="520">
        <v>953943124</v>
      </c>
      <c r="C107" s="10" t="s">
        <v>409</v>
      </c>
      <c r="D107" s="102" t="s">
        <v>27</v>
      </c>
      <c r="E107" s="36">
        <v>27</v>
      </c>
      <c r="G107" s="104">
        <f>E107*F107</f>
        <v>0</v>
      </c>
      <c r="H107" s="596">
        <f>0.00044*E107</f>
        <v>1.188E-2</v>
      </c>
    </row>
    <row r="108" spans="1:8" x14ac:dyDescent="0.25">
      <c r="A108" s="449" t="s">
        <v>1404</v>
      </c>
      <c r="C108" s="10" t="s">
        <v>62</v>
      </c>
      <c r="D108" s="102" t="s">
        <v>28</v>
      </c>
      <c r="E108" s="36">
        <f>E109+E110</f>
        <v>52.489999999999995</v>
      </c>
    </row>
    <row r="109" spans="1:8" x14ac:dyDescent="0.25">
      <c r="A109" s="449" t="s">
        <v>1409</v>
      </c>
      <c r="C109" s="10" t="s">
        <v>19</v>
      </c>
      <c r="E109" s="36">
        <f>((20.4+2.7+0.07+0.1*2))*2+(1.35+0.8)</f>
        <v>48.889999999999993</v>
      </c>
    </row>
    <row r="110" spans="1:8" x14ac:dyDescent="0.25">
      <c r="A110" s="449" t="s">
        <v>1414</v>
      </c>
      <c r="C110" s="10" t="s">
        <v>2400</v>
      </c>
      <c r="E110" s="36">
        <f>0.15*12*2</f>
        <v>3.5999999999999996</v>
      </c>
    </row>
    <row r="111" spans="1:8" ht="39.6" x14ac:dyDescent="0.25">
      <c r="A111" s="449" t="s">
        <v>1419</v>
      </c>
      <c r="B111" s="520" t="s">
        <v>63</v>
      </c>
      <c r="C111" s="10" t="s">
        <v>453</v>
      </c>
      <c r="D111" s="102" t="s">
        <v>27</v>
      </c>
      <c r="E111" s="36">
        <v>7</v>
      </c>
      <c r="G111" s="104">
        <f>E111*F111</f>
        <v>0</v>
      </c>
      <c r="H111" s="596">
        <f>0.003*E111</f>
        <v>2.1000000000000001E-2</v>
      </c>
    </row>
    <row r="112" spans="1:8" ht="26.4" x14ac:dyDescent="0.25">
      <c r="A112" s="449" t="s">
        <v>1424</v>
      </c>
      <c r="B112" s="520">
        <v>953965131</v>
      </c>
      <c r="C112" s="10" t="s">
        <v>410</v>
      </c>
      <c r="D112" s="102" t="s">
        <v>27</v>
      </c>
      <c r="E112" s="36">
        <f>52.49*8</f>
        <v>419.92</v>
      </c>
      <c r="G112" s="104">
        <f>E112*F112</f>
        <v>0</v>
      </c>
      <c r="H112" s="596">
        <f>0.00027*E112</f>
        <v>0.1133784</v>
      </c>
    </row>
    <row r="113" spans="1:8" x14ac:dyDescent="0.25">
      <c r="A113" s="449" t="s">
        <v>1433</v>
      </c>
      <c r="B113" s="520" t="s">
        <v>50</v>
      </c>
      <c r="C113" s="10" t="s">
        <v>411</v>
      </c>
      <c r="D113" s="102" t="s">
        <v>28</v>
      </c>
      <c r="E113" s="36">
        <f>(2.9+1.35)*2</f>
        <v>8.5</v>
      </c>
      <c r="G113" s="104">
        <f>E113*F113</f>
        <v>0</v>
      </c>
      <c r="H113" s="596">
        <f>0.01784*E113</f>
        <v>0.15164000000000002</v>
      </c>
    </row>
    <row r="114" spans="1:8" x14ac:dyDescent="0.25">
      <c r="A114" s="449" t="s">
        <v>1438</v>
      </c>
      <c r="B114" s="520">
        <v>953943124</v>
      </c>
      <c r="C114" s="10" t="s">
        <v>412</v>
      </c>
      <c r="D114" s="102" t="s">
        <v>27</v>
      </c>
      <c r="E114" s="36">
        <v>4</v>
      </c>
      <c r="G114" s="104">
        <f>E114*F114</f>
        <v>0</v>
      </c>
      <c r="H114" s="596">
        <f>0.00044*E114</f>
        <v>1.7600000000000001E-3</v>
      </c>
    </row>
    <row r="115" spans="1:8" ht="26.4" x14ac:dyDescent="0.25">
      <c r="A115" s="449" t="s">
        <v>1443</v>
      </c>
      <c r="C115" s="10" t="s">
        <v>454</v>
      </c>
    </row>
    <row r="116" spans="1:8" ht="26.4" x14ac:dyDescent="0.25">
      <c r="A116" s="449" t="s">
        <v>1448</v>
      </c>
      <c r="B116" s="520">
        <v>312101213</v>
      </c>
      <c r="C116" s="10" t="s">
        <v>413</v>
      </c>
      <c r="D116" s="102" t="s">
        <v>28</v>
      </c>
      <c r="E116" s="36">
        <v>1.4</v>
      </c>
      <c r="G116" s="104">
        <f>E116*F116</f>
        <v>0</v>
      </c>
      <c r="H116" s="596">
        <f>0.0014*E116</f>
        <v>1.9599999999999999E-3</v>
      </c>
    </row>
    <row r="117" spans="1:8" x14ac:dyDescent="0.25">
      <c r="A117" s="449" t="s">
        <v>1453</v>
      </c>
      <c r="B117" s="520" t="s">
        <v>46</v>
      </c>
      <c r="C117" s="10" t="s">
        <v>414</v>
      </c>
      <c r="D117" s="102" t="s">
        <v>27</v>
      </c>
      <c r="E117" s="36">
        <v>1</v>
      </c>
      <c r="G117" s="104">
        <f>E117*F117</f>
        <v>0</v>
      </c>
      <c r="H117" s="596">
        <f>0.005*E117</f>
        <v>5.0000000000000001E-3</v>
      </c>
    </row>
    <row r="118" spans="1:8" ht="26.4" x14ac:dyDescent="0.25">
      <c r="A118" s="449" t="s">
        <v>1458</v>
      </c>
      <c r="B118" s="520" t="s">
        <v>47</v>
      </c>
      <c r="C118" s="10" t="s">
        <v>415</v>
      </c>
      <c r="D118" s="102" t="s">
        <v>28</v>
      </c>
      <c r="E118" s="36">
        <f>1.4*2</f>
        <v>2.8</v>
      </c>
      <c r="G118" s="104">
        <f>E118*F118</f>
        <v>0</v>
      </c>
      <c r="H118" s="596">
        <f>0.00496*E118</f>
        <v>1.3887999999999999E-2</v>
      </c>
    </row>
    <row r="119" spans="1:8" x14ac:dyDescent="0.25">
      <c r="A119" s="449" t="s">
        <v>1463</v>
      </c>
      <c r="B119" s="520" t="s">
        <v>46</v>
      </c>
      <c r="C119" s="10" t="s">
        <v>416</v>
      </c>
      <c r="D119" s="102" t="s">
        <v>27</v>
      </c>
      <c r="E119" s="36">
        <v>2</v>
      </c>
      <c r="G119" s="104">
        <f>E119*F119</f>
        <v>0</v>
      </c>
      <c r="H119" s="596">
        <f>0.003*E119</f>
        <v>6.0000000000000001E-3</v>
      </c>
    </row>
    <row r="120" spans="1:8" ht="26.4" x14ac:dyDescent="0.25">
      <c r="A120" s="449" t="s">
        <v>1470</v>
      </c>
      <c r="B120" s="439"/>
      <c r="C120" s="10" t="s">
        <v>29</v>
      </c>
    </row>
    <row r="121" spans="1:8" ht="26.4" x14ac:dyDescent="0.25">
      <c r="A121" s="449" t="s">
        <v>1476</v>
      </c>
      <c r="B121" s="520">
        <v>312101213</v>
      </c>
      <c r="C121" s="10" t="s">
        <v>413</v>
      </c>
      <c r="D121" s="102" t="s">
        <v>28</v>
      </c>
      <c r="E121" s="36">
        <v>1.6</v>
      </c>
      <c r="G121" s="104">
        <f>E121*F121</f>
        <v>0</v>
      </c>
      <c r="H121" s="596">
        <f>0.0014*E121</f>
        <v>2.2400000000000002E-3</v>
      </c>
    </row>
    <row r="122" spans="1:8" x14ac:dyDescent="0.25">
      <c r="A122" s="449" t="s">
        <v>1480</v>
      </c>
      <c r="B122" s="520" t="s">
        <v>46</v>
      </c>
      <c r="C122" s="10" t="s">
        <v>414</v>
      </c>
      <c r="D122" s="102" t="s">
        <v>27</v>
      </c>
      <c r="E122" s="36">
        <v>1</v>
      </c>
      <c r="G122" s="104">
        <f>E122*F122</f>
        <v>0</v>
      </c>
      <c r="H122" s="596">
        <f>0.005*E122</f>
        <v>5.0000000000000001E-3</v>
      </c>
    </row>
    <row r="123" spans="1:8" ht="26.4" x14ac:dyDescent="0.25">
      <c r="A123" s="449" t="s">
        <v>1485</v>
      </c>
      <c r="B123" s="520" t="s">
        <v>47</v>
      </c>
      <c r="C123" s="10" t="s">
        <v>417</v>
      </c>
      <c r="D123" s="102" t="s">
        <v>28</v>
      </c>
      <c r="E123" s="36">
        <v>3.2</v>
      </c>
      <c r="G123" s="104">
        <f>E123*F123</f>
        <v>0</v>
      </c>
      <c r="H123" s="596">
        <f>0.00496*E123</f>
        <v>1.5872000000000001E-2</v>
      </c>
    </row>
    <row r="124" spans="1:8" x14ac:dyDescent="0.25">
      <c r="A124" s="449" t="s">
        <v>1489</v>
      </c>
      <c r="B124" s="520" t="s">
        <v>46</v>
      </c>
      <c r="C124" s="10" t="s">
        <v>418</v>
      </c>
      <c r="D124" s="102" t="s">
        <v>27</v>
      </c>
      <c r="E124" s="36">
        <v>2</v>
      </c>
      <c r="G124" s="104">
        <f>E124*F124</f>
        <v>0</v>
      </c>
      <c r="H124" s="596">
        <f>0.003*E124</f>
        <v>6.0000000000000001E-3</v>
      </c>
    </row>
    <row r="125" spans="1:8" x14ac:dyDescent="0.25">
      <c r="A125" s="449" t="s">
        <v>1494</v>
      </c>
      <c r="B125" s="520" t="s">
        <v>54</v>
      </c>
      <c r="C125" s="10" t="s">
        <v>615</v>
      </c>
      <c r="D125" s="102" t="s">
        <v>2</v>
      </c>
      <c r="E125" s="36">
        <f>0.02*(1.35+0.8)+0.025*(20.4+2.7+0.1*2+0.15*12+0.1)</f>
        <v>0.67300000000000004</v>
      </c>
      <c r="G125" s="104">
        <f>E125*F125</f>
        <v>0</v>
      </c>
      <c r="H125" s="596">
        <f>2.5961*E125</f>
        <v>1.7471753000000001</v>
      </c>
    </row>
    <row r="126" spans="1:8" ht="26.4" x14ac:dyDescent="0.25">
      <c r="A126" s="449" t="s">
        <v>1498</v>
      </c>
      <c r="C126" s="24" t="s">
        <v>55</v>
      </c>
    </row>
    <row r="127" spans="1:8" x14ac:dyDescent="0.25">
      <c r="A127" s="449" t="s">
        <v>1505</v>
      </c>
      <c r="B127" s="520" t="s">
        <v>56</v>
      </c>
      <c r="C127" s="10" t="s">
        <v>616</v>
      </c>
      <c r="D127" s="102" t="s">
        <v>2</v>
      </c>
      <c r="E127" s="36">
        <f>0.4*1.35*10</f>
        <v>5.4</v>
      </c>
      <c r="G127" s="104">
        <f>E127*F127</f>
        <v>0</v>
      </c>
      <c r="H127" s="596">
        <f>2.45337*E127</f>
        <v>13.248198</v>
      </c>
    </row>
    <row r="128" spans="1:8" x14ac:dyDescent="0.25">
      <c r="A128" s="449" t="s">
        <v>1509</v>
      </c>
      <c r="B128" s="520">
        <v>434351141</v>
      </c>
      <c r="C128" s="10" t="s">
        <v>617</v>
      </c>
      <c r="D128" s="102" t="s">
        <v>15</v>
      </c>
      <c r="E128" s="36">
        <f>0.4*4+0.2*1.45*12</f>
        <v>5.08</v>
      </c>
      <c r="G128" s="104">
        <f>E128*F128</f>
        <v>0</v>
      </c>
      <c r="H128" s="596">
        <f>0.00658*E128</f>
        <v>3.3426400000000002E-2</v>
      </c>
    </row>
    <row r="129" spans="1:8" x14ac:dyDescent="0.25">
      <c r="A129" s="449" t="s">
        <v>1512</v>
      </c>
      <c r="B129" s="520">
        <v>434351142</v>
      </c>
      <c r="C129" s="10" t="s">
        <v>618</v>
      </c>
      <c r="D129" s="102" t="s">
        <v>15</v>
      </c>
      <c r="E129" s="36">
        <f>E128</f>
        <v>5.08</v>
      </c>
      <c r="G129" s="104">
        <f>E129*F129</f>
        <v>0</v>
      </c>
      <c r="H129" s="596">
        <v>0</v>
      </c>
    </row>
    <row r="130" spans="1:8" x14ac:dyDescent="0.25">
      <c r="A130" s="449" t="s">
        <v>1515</v>
      </c>
      <c r="C130" s="20" t="s">
        <v>614</v>
      </c>
      <c r="D130" s="102" t="s">
        <v>45</v>
      </c>
      <c r="E130" s="36">
        <f>SUM(H97:H129)</f>
        <v>64.509784082549999</v>
      </c>
      <c r="G130" s="104">
        <f>E130*F130</f>
        <v>0</v>
      </c>
    </row>
    <row r="131" spans="1:8" ht="13.8" x14ac:dyDescent="0.25">
      <c r="A131" s="449" t="s">
        <v>1518</v>
      </c>
      <c r="B131" s="980"/>
      <c r="C131" s="981" t="s">
        <v>31</v>
      </c>
      <c r="D131" s="982"/>
      <c r="E131" s="983"/>
      <c r="F131" s="984"/>
      <c r="G131" s="984"/>
      <c r="H131" s="985"/>
    </row>
    <row r="132" spans="1:8" ht="66" x14ac:dyDescent="0.25">
      <c r="A132" s="449" t="s">
        <v>1532</v>
      </c>
      <c r="C132" s="10" t="s">
        <v>2495</v>
      </c>
    </row>
    <row r="133" spans="1:8" ht="39.6" x14ac:dyDescent="0.25">
      <c r="A133" s="449" t="s">
        <v>1537</v>
      </c>
      <c r="C133" s="10" t="s">
        <v>2491</v>
      </c>
    </row>
    <row r="134" spans="1:8" ht="26.4" x14ac:dyDescent="0.25">
      <c r="A134" s="449" t="s">
        <v>1543</v>
      </c>
      <c r="C134" s="10" t="s">
        <v>2492</v>
      </c>
      <c r="D134" s="102" t="s">
        <v>26</v>
      </c>
      <c r="E134" s="36">
        <v>40</v>
      </c>
      <c r="G134" s="104">
        <f t="shared" ref="G134:G140" si="0">E134*F134</f>
        <v>0</v>
      </c>
    </row>
    <row r="135" spans="1:8" ht="26.4" x14ac:dyDescent="0.25">
      <c r="A135" s="449" t="s">
        <v>1548</v>
      </c>
      <c r="C135" s="10" t="s">
        <v>2493</v>
      </c>
      <c r="D135" s="102" t="s">
        <v>26</v>
      </c>
      <c r="E135" s="36">
        <v>48</v>
      </c>
      <c r="G135" s="104">
        <f t="shared" si="0"/>
        <v>0</v>
      </c>
    </row>
    <row r="136" spans="1:8" x14ac:dyDescent="0.25">
      <c r="A136" s="449" t="s">
        <v>1553</v>
      </c>
      <c r="C136" s="10" t="s">
        <v>125</v>
      </c>
      <c r="D136" s="102" t="s">
        <v>2</v>
      </c>
      <c r="E136" s="36">
        <f>29.5*0.15</f>
        <v>4.4249999999999998</v>
      </c>
      <c r="G136" s="104">
        <f t="shared" si="0"/>
        <v>0</v>
      </c>
    </row>
    <row r="137" spans="1:8" x14ac:dyDescent="0.25">
      <c r="A137" s="449" t="s">
        <v>1558</v>
      </c>
      <c r="C137" s="10" t="s">
        <v>126</v>
      </c>
      <c r="D137" s="102" t="s">
        <v>2</v>
      </c>
      <c r="E137" s="36">
        <v>4.43</v>
      </c>
      <c r="G137" s="104">
        <f t="shared" si="0"/>
        <v>0</v>
      </c>
    </row>
    <row r="138" spans="1:8" x14ac:dyDescent="0.25">
      <c r="A138" s="449" t="s">
        <v>1563</v>
      </c>
      <c r="C138" s="10" t="s">
        <v>127</v>
      </c>
      <c r="D138" s="102" t="s">
        <v>2</v>
      </c>
      <c r="E138" s="36">
        <v>4.43</v>
      </c>
      <c r="G138" s="104">
        <f t="shared" si="0"/>
        <v>0</v>
      </c>
    </row>
    <row r="139" spans="1:8" ht="26.4" x14ac:dyDescent="0.25">
      <c r="A139" s="449" t="s">
        <v>1568</v>
      </c>
      <c r="C139" s="10" t="s">
        <v>128</v>
      </c>
      <c r="D139" s="102" t="s">
        <v>15</v>
      </c>
      <c r="E139" s="36">
        <f>(0.25+0.15)*2*(1*80+2*8)</f>
        <v>76.800000000000011</v>
      </c>
      <c r="G139" s="104">
        <f t="shared" si="0"/>
        <v>0</v>
      </c>
    </row>
    <row r="140" spans="1:8" x14ac:dyDescent="0.25">
      <c r="A140" s="449" t="s">
        <v>1574</v>
      </c>
      <c r="C140" s="10" t="s">
        <v>2490</v>
      </c>
      <c r="D140" s="102" t="s">
        <v>26</v>
      </c>
      <c r="E140" s="36">
        <v>88</v>
      </c>
      <c r="G140" s="104">
        <f t="shared" si="0"/>
        <v>0</v>
      </c>
    </row>
    <row r="141" spans="1:8" ht="26.4" x14ac:dyDescent="0.25">
      <c r="A141" s="449" t="s">
        <v>1582</v>
      </c>
      <c r="B141" s="520">
        <v>953965130</v>
      </c>
      <c r="C141" s="10" t="s">
        <v>2499</v>
      </c>
      <c r="D141" s="102" t="s">
        <v>26</v>
      </c>
      <c r="E141" s="36">
        <v>88</v>
      </c>
      <c r="G141" s="104">
        <f>E141*F141</f>
        <v>0</v>
      </c>
    </row>
    <row r="142" spans="1:8" x14ac:dyDescent="0.25">
      <c r="A142" s="449" t="s">
        <v>1587</v>
      </c>
      <c r="B142" s="520" t="s">
        <v>67</v>
      </c>
      <c r="C142" s="10" t="s">
        <v>68</v>
      </c>
      <c r="D142" s="102" t="s">
        <v>26</v>
      </c>
      <c r="E142" s="36">
        <v>88</v>
      </c>
      <c r="G142" s="104">
        <f>E142*F142</f>
        <v>0</v>
      </c>
    </row>
    <row r="143" spans="1:8" ht="26.4" x14ac:dyDescent="0.25">
      <c r="A143" s="449" t="s">
        <v>1592</v>
      </c>
      <c r="B143" s="520" t="s">
        <v>66</v>
      </c>
      <c r="C143" s="10" t="s">
        <v>32</v>
      </c>
      <c r="D143" s="102" t="s">
        <v>26</v>
      </c>
      <c r="E143" s="36">
        <f>88*3</f>
        <v>264</v>
      </c>
      <c r="G143" s="104">
        <f>E143*F143</f>
        <v>0</v>
      </c>
    </row>
    <row r="144" spans="1:8" x14ac:dyDescent="0.25">
      <c r="A144" s="449" t="s">
        <v>1598</v>
      </c>
      <c r="C144" s="24" t="s">
        <v>455</v>
      </c>
      <c r="D144" s="102" t="s">
        <v>71</v>
      </c>
      <c r="G144" s="104">
        <f>F144*0.0074</f>
        <v>0</v>
      </c>
    </row>
    <row r="145" spans="1:8" ht="26.4" x14ac:dyDescent="0.25">
      <c r="A145" s="449" t="s">
        <v>1603</v>
      </c>
      <c r="B145" s="520">
        <v>711161220</v>
      </c>
      <c r="C145" s="10" t="s">
        <v>69</v>
      </c>
      <c r="D145" s="102" t="s">
        <v>15</v>
      </c>
      <c r="E145" s="36">
        <f>23.9*0.3+4.75</f>
        <v>11.919999999999998</v>
      </c>
      <c r="G145" s="104">
        <f>E145*F145</f>
        <v>0</v>
      </c>
    </row>
    <row r="146" spans="1:8" x14ac:dyDescent="0.25">
      <c r="A146" s="449" t="s">
        <v>1609</v>
      </c>
      <c r="C146" s="15" t="s">
        <v>70</v>
      </c>
    </row>
    <row r="147" spans="1:8" ht="26.4" x14ac:dyDescent="0.25">
      <c r="A147" s="449" t="s">
        <v>2184</v>
      </c>
      <c r="B147" s="520" t="s">
        <v>72</v>
      </c>
      <c r="C147" s="10" t="s">
        <v>2494</v>
      </c>
      <c r="D147" s="102" t="s">
        <v>15</v>
      </c>
      <c r="E147" s="36">
        <v>19.5</v>
      </c>
      <c r="G147" s="104">
        <f>E147*F147</f>
        <v>0</v>
      </c>
    </row>
    <row r="148" spans="1:8" x14ac:dyDescent="0.25">
      <c r="A148" s="449" t="s">
        <v>2185</v>
      </c>
      <c r="C148" s="10" t="s">
        <v>73</v>
      </c>
      <c r="D148" s="102" t="s">
        <v>15</v>
      </c>
      <c r="E148" s="36">
        <f>E147</f>
        <v>19.5</v>
      </c>
      <c r="G148" s="104">
        <f>E148*F148</f>
        <v>0</v>
      </c>
    </row>
    <row r="149" spans="1:8" ht="39.6" x14ac:dyDescent="0.25">
      <c r="A149" s="449" t="s">
        <v>2186</v>
      </c>
      <c r="B149" s="520">
        <v>711490001</v>
      </c>
      <c r="C149" s="10" t="s">
        <v>74</v>
      </c>
      <c r="D149" s="102" t="s">
        <v>15</v>
      </c>
      <c r="E149" s="36">
        <v>26.55</v>
      </c>
      <c r="G149" s="104">
        <f>E149*F149</f>
        <v>0</v>
      </c>
    </row>
    <row r="150" spans="1:8" x14ac:dyDescent="0.25">
      <c r="A150" s="449" t="s">
        <v>2187</v>
      </c>
      <c r="B150" s="520">
        <v>998711201</v>
      </c>
      <c r="C150" s="24" t="s">
        <v>2286</v>
      </c>
      <c r="D150" s="102" t="s">
        <v>71</v>
      </c>
      <c r="G150" s="104">
        <f>F150*0.0305</f>
        <v>0</v>
      </c>
    </row>
    <row r="151" spans="1:8" ht="13.8" x14ac:dyDescent="0.25">
      <c r="A151" s="449" t="s">
        <v>2188</v>
      </c>
      <c r="B151" s="980"/>
      <c r="C151" s="981" t="s">
        <v>33</v>
      </c>
      <c r="D151" s="982"/>
      <c r="E151" s="983"/>
      <c r="F151" s="984"/>
      <c r="G151" s="984"/>
      <c r="H151" s="985"/>
    </row>
    <row r="152" spans="1:8" x14ac:dyDescent="0.25">
      <c r="A152" s="449" t="s">
        <v>2189</v>
      </c>
      <c r="C152" s="20" t="s">
        <v>5</v>
      </c>
    </row>
    <row r="153" spans="1:8" ht="26.4" x14ac:dyDescent="0.25">
      <c r="A153" s="449" t="s">
        <v>2190</v>
      </c>
      <c r="B153" s="520">
        <v>213311142</v>
      </c>
      <c r="C153" s="10" t="s">
        <v>419</v>
      </c>
      <c r="D153" s="102" t="s">
        <v>2</v>
      </c>
      <c r="E153" s="36">
        <f>3.5*6.3*0.4</f>
        <v>8.82</v>
      </c>
      <c r="G153" s="104">
        <f>E153*F153</f>
        <v>0</v>
      </c>
      <c r="H153" s="596">
        <f>2.16*E153</f>
        <v>19.051200000000001</v>
      </c>
    </row>
    <row r="154" spans="1:8" x14ac:dyDescent="0.25">
      <c r="A154" s="449" t="s">
        <v>2191</v>
      </c>
      <c r="B154" s="520" t="s">
        <v>75</v>
      </c>
      <c r="C154" s="20" t="s">
        <v>3</v>
      </c>
      <c r="D154" s="102" t="s">
        <v>2</v>
      </c>
      <c r="E154" s="36">
        <f>(3.5*6.3-(0.9*0.9+1.1*1.1)+0.3*2.7)*0.1</f>
        <v>2.0840000000000001</v>
      </c>
      <c r="G154" s="104">
        <f>E154*F154</f>
        <v>0</v>
      </c>
      <c r="H154" s="596">
        <f>2.25634*E154</f>
        <v>4.7022125599999995</v>
      </c>
    </row>
    <row r="155" spans="1:8" x14ac:dyDescent="0.25">
      <c r="A155" s="449" t="s">
        <v>2192</v>
      </c>
      <c r="C155" s="10" t="s">
        <v>76</v>
      </c>
    </row>
    <row r="156" spans="1:8" x14ac:dyDescent="0.25">
      <c r="A156" s="449" t="s">
        <v>2193</v>
      </c>
      <c r="B156" s="520">
        <v>711440001</v>
      </c>
      <c r="C156" s="20" t="s">
        <v>420</v>
      </c>
      <c r="D156" s="102" t="s">
        <v>15</v>
      </c>
      <c r="E156" s="36">
        <f>3.5*6.3-(0.9*0.9+1.1*1.1)+0.3*2.7+0.53*0.9*4+(0.15*2+0.3)*(1.2+0.9)*2+0.59*1.1*4+(0.15*2+0.3)*(1.4+1.1)*2</f>
        <v>30.864000000000001</v>
      </c>
      <c r="G156" s="104">
        <f>E156*F156</f>
        <v>0</v>
      </c>
      <c r="H156" s="596">
        <f>0.003*E156</f>
        <v>9.2592000000000008E-2</v>
      </c>
    </row>
    <row r="157" spans="1:8" ht="66" x14ac:dyDescent="0.25">
      <c r="A157" s="449" t="s">
        <v>2194</v>
      </c>
      <c r="C157" s="10" t="s">
        <v>77</v>
      </c>
    </row>
    <row r="158" spans="1:8" x14ac:dyDescent="0.25">
      <c r="A158" s="449" t="s">
        <v>2195</v>
      </c>
      <c r="B158" s="520" t="s">
        <v>93</v>
      </c>
      <c r="C158" s="10" t="s">
        <v>421</v>
      </c>
      <c r="D158" s="102" t="s">
        <v>15</v>
      </c>
      <c r="E158" s="36">
        <f>3.5*6.3-(0.9*0.9+1.1*1.1)+0.3*2.7+0.53*0.9*4+(0.15*2+0.3)*(1.2+0.9)*2+0.59*1.1*4+(0.15*2+0.3)*(1.4+1.1)*2</f>
        <v>30.864000000000001</v>
      </c>
      <c r="G158" s="104">
        <f>E158*F158</f>
        <v>0</v>
      </c>
      <c r="H158" s="596">
        <f>0.0011*E158</f>
        <v>3.3950400000000006E-2</v>
      </c>
    </row>
    <row r="159" spans="1:8" ht="52.8" x14ac:dyDescent="0.25">
      <c r="A159" s="449" t="s">
        <v>2196</v>
      </c>
      <c r="C159" s="24" t="s">
        <v>619</v>
      </c>
    </row>
    <row r="160" spans="1:8" ht="26.4" x14ac:dyDescent="0.25">
      <c r="A160" s="449" t="s">
        <v>2197</v>
      </c>
      <c r="B160" s="520">
        <v>273321511</v>
      </c>
      <c r="C160" s="20" t="s">
        <v>86</v>
      </c>
      <c r="D160" s="102" t="s">
        <v>2</v>
      </c>
      <c r="E160" s="36">
        <f>0.25*3.5*6.3-0.25*(0.6*0.6+0.8*0.8)+0.3*0.2*((6.3+2.9)*2+2.7)+0.15*0.53*(0.6+0.9)*2+0.3*0.15*(1.2+0.6)*2+0.15*0.59*(0.8+1.2)*2+0.3*0.15*(1.4+0.8)*2</f>
        <v>7.4810000000000008</v>
      </c>
      <c r="G160" s="104">
        <f>E160*F160</f>
        <v>0</v>
      </c>
      <c r="H160" s="596">
        <f>2.45329*E160</f>
        <v>18.353062490000003</v>
      </c>
    </row>
    <row r="161" spans="1:8" ht="66" x14ac:dyDescent="0.25">
      <c r="A161" s="449" t="s">
        <v>2198</v>
      </c>
      <c r="C161" s="10" t="s">
        <v>129</v>
      </c>
    </row>
    <row r="162" spans="1:8" x14ac:dyDescent="0.25">
      <c r="A162" s="449" t="s">
        <v>2199</v>
      </c>
      <c r="B162" s="520">
        <v>273351121</v>
      </c>
      <c r="C162" s="10" t="s">
        <v>130</v>
      </c>
      <c r="D162" s="102" t="s">
        <v>15</v>
      </c>
      <c r="E162" s="457">
        <f xml:space="preserve"> 0.25*(3.5+6.3)*2+0.93*(0.6*4+
0.8*4)*2+0.93*(0.91*4+1.1*4)*2+4</f>
        <v>34.270400000000002</v>
      </c>
      <c r="G162" s="104">
        <f>E162*F162</f>
        <v>0</v>
      </c>
      <c r="H162" s="596">
        <f>0.00247*E162</f>
        <v>8.4647888000000004E-2</v>
      </c>
    </row>
    <row r="163" spans="1:8" ht="26.4" x14ac:dyDescent="0.25">
      <c r="A163" s="449" t="s">
        <v>2200</v>
      </c>
      <c r="C163" s="10" t="s">
        <v>456</v>
      </c>
    </row>
    <row r="164" spans="1:8" x14ac:dyDescent="0.25">
      <c r="A164" s="449" t="s">
        <v>2201</v>
      </c>
      <c r="B164" s="520">
        <v>273351122</v>
      </c>
      <c r="C164" s="10" t="s">
        <v>131</v>
      </c>
      <c r="D164" s="102" t="s">
        <v>15</v>
      </c>
      <c r="E164" s="36">
        <f>E162</f>
        <v>34.270400000000002</v>
      </c>
      <c r="G164" s="104">
        <f t="shared" ref="G164:G169" si="1">E164*F164</f>
        <v>0</v>
      </c>
      <c r="H164" s="596">
        <v>0</v>
      </c>
    </row>
    <row r="165" spans="1:8" x14ac:dyDescent="0.25">
      <c r="A165" s="449" t="s">
        <v>2202</v>
      </c>
      <c r="B165" s="520">
        <v>273361821</v>
      </c>
      <c r="C165" s="20" t="s">
        <v>80</v>
      </c>
      <c r="D165" s="102" t="s">
        <v>45</v>
      </c>
      <c r="E165" s="36">
        <v>0.16700000000000001</v>
      </c>
      <c r="G165" s="104">
        <f t="shared" si="1"/>
        <v>0</v>
      </c>
      <c r="H165" s="596">
        <f>1.06062*E165</f>
        <v>0.17712354</v>
      </c>
    </row>
    <row r="166" spans="1:8" x14ac:dyDescent="0.25">
      <c r="A166" s="449" t="s">
        <v>2203</v>
      </c>
      <c r="B166" s="520">
        <v>273361821</v>
      </c>
      <c r="C166" s="20" t="s">
        <v>81</v>
      </c>
      <c r="D166" s="102" t="s">
        <v>45</v>
      </c>
      <c r="E166" s="36">
        <v>0.217</v>
      </c>
      <c r="G166" s="104">
        <f t="shared" si="1"/>
        <v>0</v>
      </c>
      <c r="H166" s="596">
        <f>1.06062*E166</f>
        <v>0.23015453999999996</v>
      </c>
    </row>
    <row r="167" spans="1:8" x14ac:dyDescent="0.25">
      <c r="A167" s="449" t="s">
        <v>2204</v>
      </c>
      <c r="B167" s="520">
        <v>273362021</v>
      </c>
      <c r="C167" s="20" t="s">
        <v>85</v>
      </c>
      <c r="D167" s="102" t="s">
        <v>45</v>
      </c>
      <c r="E167" s="36">
        <v>2.3E-2</v>
      </c>
      <c r="G167" s="104">
        <f t="shared" si="1"/>
        <v>0</v>
      </c>
      <c r="H167" s="596">
        <f>1.06277*E167</f>
        <v>2.444371E-2</v>
      </c>
    </row>
    <row r="168" spans="1:8" x14ac:dyDescent="0.25">
      <c r="A168" s="449" t="s">
        <v>2205</v>
      </c>
      <c r="B168" s="520">
        <v>273361821</v>
      </c>
      <c r="C168" s="20" t="s">
        <v>82</v>
      </c>
      <c r="D168" s="102" t="s">
        <v>45</v>
      </c>
      <c r="E168" s="36">
        <v>3.1E-2</v>
      </c>
      <c r="G168" s="104">
        <f t="shared" si="1"/>
        <v>0</v>
      </c>
      <c r="H168" s="596">
        <f>1.06062*E168</f>
        <v>3.2879219999999994E-2</v>
      </c>
    </row>
    <row r="169" spans="1:8" x14ac:dyDescent="0.25">
      <c r="A169" s="449" t="s">
        <v>2206</v>
      </c>
      <c r="B169" s="520">
        <v>273361821</v>
      </c>
      <c r="C169" s="20" t="s">
        <v>83</v>
      </c>
      <c r="D169" s="102" t="s">
        <v>45</v>
      </c>
      <c r="E169" s="36">
        <v>0.03</v>
      </c>
      <c r="G169" s="104">
        <f t="shared" si="1"/>
        <v>0</v>
      </c>
      <c r="H169" s="596">
        <f>1.06062*E169</f>
        <v>3.1818599999999995E-2</v>
      </c>
    </row>
    <row r="170" spans="1:8" x14ac:dyDescent="0.25">
      <c r="A170" s="449" t="s">
        <v>2207</v>
      </c>
      <c r="B170" s="520">
        <v>346244821</v>
      </c>
      <c r="C170" s="20" t="s">
        <v>422</v>
      </c>
      <c r="D170" s="102" t="s">
        <v>2</v>
      </c>
      <c r="E170" s="36">
        <f xml:space="preserve"> 0.15*0.53*(0.9+1.2)*2+0.15*0.53*(1.1+1.4)*2</f>
        <v>0.73140000000000005</v>
      </c>
      <c r="G170" s="104">
        <f>F170*E170</f>
        <v>0</v>
      </c>
      <c r="H170" s="596">
        <f>0.2933*E170</f>
        <v>0.21451962000000002</v>
      </c>
    </row>
    <row r="171" spans="1:8" x14ac:dyDescent="0.25">
      <c r="A171" s="449" t="s">
        <v>2208</v>
      </c>
      <c r="C171" s="10" t="s">
        <v>43</v>
      </c>
    </row>
    <row r="172" spans="1:8" ht="41.4" x14ac:dyDescent="0.25">
      <c r="A172" s="449" t="s">
        <v>2209</v>
      </c>
      <c r="B172" s="980"/>
      <c r="C172" s="986" t="s">
        <v>620</v>
      </c>
      <c r="D172" s="982"/>
      <c r="E172" s="983"/>
      <c r="F172" s="984"/>
      <c r="G172" s="984"/>
      <c r="H172" s="985"/>
    </row>
    <row r="173" spans="1:8" x14ac:dyDescent="0.25">
      <c r="A173" s="449" t="s">
        <v>2210</v>
      </c>
      <c r="C173" s="18" t="s">
        <v>6</v>
      </c>
    </row>
    <row r="174" spans="1:8" x14ac:dyDescent="0.25">
      <c r="A174" s="449" t="s">
        <v>2211</v>
      </c>
      <c r="C174" s="18" t="s">
        <v>78</v>
      </c>
    </row>
    <row r="175" spans="1:8" x14ac:dyDescent="0.25">
      <c r="A175" s="449" t="s">
        <v>2212</v>
      </c>
      <c r="C175" s="18" t="s">
        <v>7</v>
      </c>
    </row>
    <row r="176" spans="1:8" x14ac:dyDescent="0.25">
      <c r="A176" s="449" t="s">
        <v>2213</v>
      </c>
      <c r="C176" s="18" t="s">
        <v>457</v>
      </c>
    </row>
    <row r="177" spans="1:8" ht="13.8" x14ac:dyDescent="0.25">
      <c r="A177" s="449" t="s">
        <v>2214</v>
      </c>
      <c r="B177" s="980"/>
      <c r="C177" s="981" t="s">
        <v>8</v>
      </c>
      <c r="D177" s="982"/>
      <c r="E177" s="983"/>
      <c r="F177" s="984"/>
      <c r="G177" s="984"/>
      <c r="H177" s="985"/>
    </row>
    <row r="178" spans="1:8" x14ac:dyDescent="0.25">
      <c r="A178" s="449" t="s">
        <v>2215</v>
      </c>
      <c r="B178" s="520">
        <v>631311124</v>
      </c>
      <c r="C178" s="20" t="s">
        <v>9</v>
      </c>
      <c r="D178" s="102" t="s">
        <v>2</v>
      </c>
      <c r="E178" s="36">
        <f>16.53*0.1</f>
        <v>1.6530000000000002</v>
      </c>
      <c r="G178" s="104">
        <f>E178*F178</f>
        <v>0</v>
      </c>
      <c r="H178" s="596">
        <f>2.25634*E178</f>
        <v>3.7297300200000003</v>
      </c>
    </row>
    <row r="179" spans="1:8" x14ac:dyDescent="0.25">
      <c r="A179" s="449" t="s">
        <v>2216</v>
      </c>
      <c r="C179" s="10" t="s">
        <v>35</v>
      </c>
    </row>
    <row r="180" spans="1:8" x14ac:dyDescent="0.25">
      <c r="A180" s="449" t="s">
        <v>2217</v>
      </c>
      <c r="B180" s="520">
        <v>273321511</v>
      </c>
      <c r="C180" s="20" t="s">
        <v>34</v>
      </c>
      <c r="D180" s="102" t="s">
        <v>2</v>
      </c>
      <c r="E180" s="36">
        <f>28.16*0.25-(0.8*0.8)*0.25+0.15*0.3*(0.95*2+0.8)+1.6*1.9*0.25</f>
        <v>7.7614999999999998</v>
      </c>
      <c r="G180" s="104">
        <f>E180*F180</f>
        <v>0</v>
      </c>
      <c r="H180" s="596">
        <f>2.45329*E180</f>
        <v>19.041210334999999</v>
      </c>
    </row>
    <row r="181" spans="1:8" ht="26.4" x14ac:dyDescent="0.25">
      <c r="A181" s="449" t="s">
        <v>2218</v>
      </c>
      <c r="C181" s="10" t="s">
        <v>36</v>
      </c>
    </row>
    <row r="182" spans="1:8" x14ac:dyDescent="0.25">
      <c r="A182" s="449" t="s">
        <v>2219</v>
      </c>
      <c r="B182" s="520">
        <v>273351121</v>
      </c>
      <c r="C182" s="10" t="s">
        <v>130</v>
      </c>
      <c r="D182" s="102" t="s">
        <v>15</v>
      </c>
      <c r="E182" s="457">
        <v>48</v>
      </c>
      <c r="G182" s="104">
        <f t="shared" ref="G182:G188" si="2">E182*F182</f>
        <v>0</v>
      </c>
      <c r="H182" s="596">
        <f>0.00247*E182</f>
        <v>0.11856</v>
      </c>
    </row>
    <row r="183" spans="1:8" x14ac:dyDescent="0.25">
      <c r="A183" s="449" t="s">
        <v>2220</v>
      </c>
      <c r="B183" s="520">
        <v>273351122</v>
      </c>
      <c r="C183" s="10" t="s">
        <v>131</v>
      </c>
      <c r="D183" s="102" t="s">
        <v>15</v>
      </c>
      <c r="E183" s="36">
        <v>48</v>
      </c>
      <c r="G183" s="104">
        <f t="shared" si="2"/>
        <v>0</v>
      </c>
      <c r="H183" s="596">
        <v>0</v>
      </c>
    </row>
    <row r="184" spans="1:8" x14ac:dyDescent="0.25">
      <c r="A184" s="449" t="s">
        <v>2221</v>
      </c>
      <c r="B184" s="520">
        <v>273361821</v>
      </c>
      <c r="C184" s="20" t="s">
        <v>84</v>
      </c>
      <c r="D184" s="102" t="s">
        <v>45</v>
      </c>
      <c r="E184" s="36">
        <v>2.5999999999999999E-2</v>
      </c>
      <c r="G184" s="104">
        <f t="shared" si="2"/>
        <v>0</v>
      </c>
      <c r="H184" s="596">
        <f>1.06062*E184</f>
        <v>2.7576119999999996E-2</v>
      </c>
    </row>
    <row r="185" spans="1:8" ht="26.4" x14ac:dyDescent="0.25">
      <c r="A185" s="449" t="s">
        <v>2222</v>
      </c>
      <c r="C185" s="20" t="s">
        <v>89</v>
      </c>
      <c r="D185" s="102" t="s">
        <v>45</v>
      </c>
      <c r="E185" s="36">
        <v>1.7999999999999999E-2</v>
      </c>
      <c r="G185" s="104">
        <f t="shared" si="2"/>
        <v>0</v>
      </c>
      <c r="H185" s="596">
        <f>1.06277*E185</f>
        <v>1.9129859999999999E-2</v>
      </c>
    </row>
    <row r="186" spans="1:8" x14ac:dyDescent="0.25">
      <c r="A186" s="449" t="s">
        <v>2223</v>
      </c>
      <c r="C186" s="20" t="s">
        <v>88</v>
      </c>
      <c r="E186" s="36">
        <v>8.6999999999999994E-2</v>
      </c>
      <c r="G186" s="104">
        <f t="shared" si="2"/>
        <v>0</v>
      </c>
      <c r="H186" s="596">
        <f>1.06062*E186</f>
        <v>9.2273939999999985E-2</v>
      </c>
    </row>
    <row r="187" spans="1:8" ht="26.4" x14ac:dyDescent="0.25">
      <c r="A187" s="449" t="s">
        <v>2224</v>
      </c>
      <c r="B187" s="520">
        <v>273362021</v>
      </c>
      <c r="C187" s="20" t="s">
        <v>87</v>
      </c>
      <c r="D187" s="102" t="s">
        <v>45</v>
      </c>
      <c r="E187" s="36">
        <v>0.49299999999999999</v>
      </c>
      <c r="G187" s="104">
        <f t="shared" si="2"/>
        <v>0</v>
      </c>
      <c r="H187" s="596">
        <f>1.06277*E187</f>
        <v>0.52394560999999995</v>
      </c>
    </row>
    <row r="188" spans="1:8" x14ac:dyDescent="0.25">
      <c r="A188" s="449" t="s">
        <v>2225</v>
      </c>
      <c r="B188" s="520">
        <v>711440001</v>
      </c>
      <c r="C188" s="20" t="s">
        <v>420</v>
      </c>
      <c r="D188" s="102" t="s">
        <v>15</v>
      </c>
      <c r="E188" s="36">
        <f>31.58+0.5*(0.8*4)</f>
        <v>33.18</v>
      </c>
      <c r="G188" s="104">
        <f t="shared" si="2"/>
        <v>0</v>
      </c>
      <c r="H188" s="596">
        <f>0.003*E188</f>
        <v>9.9540000000000003E-2</v>
      </c>
    </row>
    <row r="189" spans="1:8" x14ac:dyDescent="0.25">
      <c r="A189" s="449" t="s">
        <v>2226</v>
      </c>
      <c r="C189" s="10" t="s">
        <v>37</v>
      </c>
    </row>
    <row r="190" spans="1:8" x14ac:dyDescent="0.25">
      <c r="A190" s="449" t="s">
        <v>2227</v>
      </c>
      <c r="B190" s="520" t="s">
        <v>93</v>
      </c>
      <c r="C190" s="20" t="s">
        <v>4</v>
      </c>
      <c r="D190" s="102" t="s">
        <v>15</v>
      </c>
      <c r="E190" s="36">
        <f>31.58+0.5*(0.8*4)</f>
        <v>33.18</v>
      </c>
      <c r="G190" s="104">
        <f>E190*F190</f>
        <v>0</v>
      </c>
      <c r="H190" s="596">
        <f>0.0011*E190</f>
        <v>3.6498000000000003E-2</v>
      </c>
    </row>
    <row r="191" spans="1:8" x14ac:dyDescent="0.25">
      <c r="A191" s="449" t="s">
        <v>2228</v>
      </c>
      <c r="C191" s="10" t="s">
        <v>37</v>
      </c>
    </row>
    <row r="192" spans="1:8" ht="26.4" x14ac:dyDescent="0.25">
      <c r="A192" s="449" t="s">
        <v>2229</v>
      </c>
      <c r="B192" s="520">
        <v>631311124</v>
      </c>
      <c r="C192" s="20" t="s">
        <v>2285</v>
      </c>
      <c r="D192" s="102" t="s">
        <v>2</v>
      </c>
      <c r="E192" s="36">
        <f>31.58*0.1+2.2*1.9*0.1</f>
        <v>3.5760000000000001</v>
      </c>
      <c r="G192" s="104">
        <f>E192*F192</f>
        <v>0</v>
      </c>
      <c r="H192" s="596">
        <f>2.25634*E192</f>
        <v>8.0686718399999986</v>
      </c>
    </row>
    <row r="193" spans="1:8" x14ac:dyDescent="0.25">
      <c r="A193" s="449" t="s">
        <v>2230</v>
      </c>
      <c r="C193" s="10" t="s">
        <v>38</v>
      </c>
    </row>
    <row r="194" spans="1:8" x14ac:dyDescent="0.25">
      <c r="A194" s="449" t="s">
        <v>2231</v>
      </c>
      <c r="C194" s="10" t="s">
        <v>10</v>
      </c>
    </row>
    <row r="195" spans="1:8" x14ac:dyDescent="0.25">
      <c r="A195" s="449" t="s">
        <v>2232</v>
      </c>
      <c r="B195" s="520">
        <v>273351121</v>
      </c>
      <c r="C195" s="10" t="s">
        <v>130</v>
      </c>
      <c r="D195" s="102" t="s">
        <v>15</v>
      </c>
      <c r="E195" s="36">
        <v>48</v>
      </c>
      <c r="G195" s="104">
        <f>E195*F195</f>
        <v>0</v>
      </c>
      <c r="H195" s="596">
        <f>0.00247*E195</f>
        <v>0.11856</v>
      </c>
    </row>
    <row r="196" spans="1:8" x14ac:dyDescent="0.25">
      <c r="A196" s="449" t="s">
        <v>2233</v>
      </c>
      <c r="B196" s="520">
        <v>273351122</v>
      </c>
      <c r="C196" s="10" t="s">
        <v>131</v>
      </c>
      <c r="D196" s="102" t="s">
        <v>15</v>
      </c>
      <c r="E196" s="36">
        <v>48</v>
      </c>
      <c r="G196" s="104">
        <f>E196*F196</f>
        <v>0</v>
      </c>
      <c r="H196" s="596">
        <v>0</v>
      </c>
    </row>
    <row r="197" spans="1:8" x14ac:dyDescent="0.25">
      <c r="A197" s="449" t="s">
        <v>2234</v>
      </c>
      <c r="B197" s="520">
        <v>311321311</v>
      </c>
      <c r="C197" s="10" t="s">
        <v>423</v>
      </c>
      <c r="D197" s="102" t="s">
        <v>2</v>
      </c>
      <c r="E197" s="36">
        <f>0.15*0.6*(0.8+0.5)*2</f>
        <v>0.23399999999999999</v>
      </c>
      <c r="G197" s="104">
        <f>E197*F197</f>
        <v>0</v>
      </c>
      <c r="H197" s="596">
        <f>2.25634*E197</f>
        <v>0.52798355999999991</v>
      </c>
    </row>
    <row r="198" spans="1:8" ht="13.8" x14ac:dyDescent="0.25">
      <c r="A198" s="449" t="s">
        <v>2235</v>
      </c>
      <c r="B198" s="980"/>
      <c r="C198" s="981" t="s">
        <v>90</v>
      </c>
      <c r="D198" s="982"/>
      <c r="E198" s="983"/>
      <c r="F198" s="984"/>
      <c r="G198" s="984"/>
      <c r="H198" s="985"/>
    </row>
    <row r="199" spans="1:8" ht="26.4" x14ac:dyDescent="0.25">
      <c r="A199" s="449" t="s">
        <v>2236</v>
      </c>
      <c r="B199" s="520">
        <v>279113154</v>
      </c>
      <c r="C199" s="10" t="s">
        <v>424</v>
      </c>
      <c r="D199" s="102" t="s">
        <v>15</v>
      </c>
      <c r="E199" s="36">
        <f>0.3*2*((6.3+2.9)*2+2.7)</f>
        <v>12.659999999999998</v>
      </c>
      <c r="G199" s="104">
        <f>E199*F199</f>
        <v>0</v>
      </c>
      <c r="H199" s="596">
        <f>0.71546*E199</f>
        <v>9.0577235999999992</v>
      </c>
    </row>
    <row r="200" spans="1:8" x14ac:dyDescent="0.25">
      <c r="A200" s="449" t="s">
        <v>2237</v>
      </c>
      <c r="C200" s="10" t="s">
        <v>39</v>
      </c>
    </row>
    <row r="201" spans="1:8" ht="26.4" x14ac:dyDescent="0.25">
      <c r="A201" s="449" t="s">
        <v>2238</v>
      </c>
      <c r="B201" s="520">
        <v>279361821</v>
      </c>
      <c r="C201" s="10" t="s">
        <v>425</v>
      </c>
      <c r="D201" s="102" t="s">
        <v>45</v>
      </c>
      <c r="E201" s="36">
        <f>0.076+0.407</f>
        <v>0.48299999999999998</v>
      </c>
      <c r="G201" s="104">
        <f>E201*F201</f>
        <v>0</v>
      </c>
      <c r="H201" s="596">
        <f>1.0594 *E201</f>
        <v>0.51169019999999998</v>
      </c>
    </row>
    <row r="202" spans="1:8" ht="26.4" x14ac:dyDescent="0.25">
      <c r="A202" s="449" t="s">
        <v>2239</v>
      </c>
      <c r="B202" s="520" t="s">
        <v>91</v>
      </c>
      <c r="C202" s="20" t="s">
        <v>621</v>
      </c>
      <c r="D202" s="102" t="s">
        <v>15</v>
      </c>
      <c r="E202" s="36">
        <f>2.45*(6.3+2.9+0.3)*2</f>
        <v>46.550000000000004</v>
      </c>
      <c r="G202" s="104">
        <f>E202*F202</f>
        <v>0</v>
      </c>
      <c r="H202" s="596">
        <f>0.008*E202</f>
        <v>0.37240000000000006</v>
      </c>
    </row>
    <row r="203" spans="1:8" x14ac:dyDescent="0.25">
      <c r="A203" s="449" t="s">
        <v>2240</v>
      </c>
      <c r="C203" s="10" t="s">
        <v>40</v>
      </c>
    </row>
    <row r="204" spans="1:8" x14ac:dyDescent="0.25">
      <c r="A204" s="449" t="s">
        <v>2241</v>
      </c>
      <c r="B204" s="520" t="s">
        <v>93</v>
      </c>
      <c r="C204" s="20" t="s">
        <v>92</v>
      </c>
      <c r="D204" s="102" t="s">
        <v>15</v>
      </c>
      <c r="E204" s="36">
        <f>2.45*(6.3+2.9+0.3)*2</f>
        <v>46.550000000000004</v>
      </c>
      <c r="G204" s="104">
        <f>E204*F204</f>
        <v>0</v>
      </c>
      <c r="H204" s="596">
        <f>0.0011*E204</f>
        <v>5.1205000000000007E-2</v>
      </c>
    </row>
    <row r="205" spans="1:8" x14ac:dyDescent="0.25">
      <c r="A205" s="449" t="s">
        <v>2242</v>
      </c>
      <c r="C205" s="10" t="s">
        <v>40</v>
      </c>
    </row>
    <row r="206" spans="1:8" x14ac:dyDescent="0.25">
      <c r="A206" s="449" t="s">
        <v>2243</v>
      </c>
      <c r="C206" s="20" t="s">
        <v>2635</v>
      </c>
      <c r="D206" s="102" t="s">
        <v>15</v>
      </c>
      <c r="E206" s="36">
        <f>2.45*(6.3+2.9+0.3)*2</f>
        <v>46.550000000000004</v>
      </c>
      <c r="G206" s="104">
        <f>E206*F206</f>
        <v>0</v>
      </c>
      <c r="H206" s="596">
        <f>0.003*E206</f>
        <v>0.13965000000000002</v>
      </c>
    </row>
    <row r="207" spans="1:8" x14ac:dyDescent="0.25">
      <c r="A207" s="449" t="s">
        <v>2244</v>
      </c>
      <c r="C207" s="10" t="s">
        <v>40</v>
      </c>
    </row>
    <row r="208" spans="1:8" x14ac:dyDescent="0.25">
      <c r="A208" s="449" t="s">
        <v>2245</v>
      </c>
      <c r="B208" s="520">
        <v>346244821</v>
      </c>
      <c r="C208" s="20" t="s">
        <v>11</v>
      </c>
      <c r="D208" s="102" t="s">
        <v>2</v>
      </c>
      <c r="E208" s="36">
        <f xml:space="preserve"> 0.15*2.45*(6.3+2.9+0.3)*2</f>
        <v>6.9824999999999999</v>
      </c>
      <c r="G208" s="104">
        <f>F208*E208</f>
        <v>0</v>
      </c>
      <c r="H208" s="596">
        <f>0.2933*E208</f>
        <v>2.0479672500000001</v>
      </c>
    </row>
    <row r="209" spans="1:8" x14ac:dyDescent="0.25">
      <c r="A209" s="449" t="s">
        <v>2246</v>
      </c>
      <c r="C209" s="10" t="s">
        <v>41</v>
      </c>
    </row>
    <row r="210" spans="1:8" x14ac:dyDescent="0.25">
      <c r="A210" s="449" t="s">
        <v>2247</v>
      </c>
      <c r="B210" s="520" t="s">
        <v>94</v>
      </c>
      <c r="C210" s="20" t="s">
        <v>12</v>
      </c>
      <c r="D210" s="102" t="s">
        <v>2</v>
      </c>
      <c r="E210" s="36">
        <f xml:space="preserve"> 0.4*2.45*(6.3+2.9+0.3)*2</f>
        <v>18.62</v>
      </c>
      <c r="G210" s="104">
        <f>F210*E210</f>
        <v>0</v>
      </c>
      <c r="H210" s="596">
        <f>2.91415*E210</f>
        <v>54.261473000000002</v>
      </c>
    </row>
    <row r="211" spans="1:8" x14ac:dyDescent="0.25">
      <c r="A211" s="449" t="s">
        <v>2248</v>
      </c>
      <c r="C211" s="10" t="s">
        <v>42</v>
      </c>
    </row>
    <row r="212" spans="1:8" x14ac:dyDescent="0.25">
      <c r="A212" s="449" t="s">
        <v>2249</v>
      </c>
      <c r="C212" s="10" t="s">
        <v>13</v>
      </c>
    </row>
    <row r="213" spans="1:8" ht="13.8" x14ac:dyDescent="0.25">
      <c r="A213" s="449" t="s">
        <v>2250</v>
      </c>
      <c r="B213" s="980"/>
      <c r="C213" s="981" t="s">
        <v>44</v>
      </c>
      <c r="D213" s="982"/>
      <c r="E213" s="983"/>
      <c r="F213" s="984"/>
      <c r="G213" s="984"/>
      <c r="H213" s="985"/>
    </row>
    <row r="214" spans="1:8" ht="26.4" x14ac:dyDescent="0.25">
      <c r="A214" s="449" t="s">
        <v>2251</v>
      </c>
      <c r="B214" s="520" t="s">
        <v>67</v>
      </c>
      <c r="C214" s="10" t="s">
        <v>2401</v>
      </c>
      <c r="D214" s="102" t="s">
        <v>26</v>
      </c>
      <c r="E214" s="36">
        <v>2</v>
      </c>
      <c r="G214" s="104">
        <f>F214*E214</f>
        <v>0</v>
      </c>
    </row>
    <row r="215" spans="1:8" ht="26.4" x14ac:dyDescent="0.25">
      <c r="A215" s="449" t="s">
        <v>2252</v>
      </c>
      <c r="B215" s="520" t="s">
        <v>67</v>
      </c>
      <c r="C215" s="10" t="s">
        <v>426</v>
      </c>
      <c r="D215" s="102" t="s">
        <v>26</v>
      </c>
      <c r="E215" s="36">
        <v>4</v>
      </c>
      <c r="G215" s="104">
        <f>F215*E215</f>
        <v>0</v>
      </c>
    </row>
    <row r="216" spans="1:8" ht="26.4" x14ac:dyDescent="0.25">
      <c r="A216" s="449" t="s">
        <v>2253</v>
      </c>
      <c r="B216" s="520" t="s">
        <v>67</v>
      </c>
      <c r="C216" s="10" t="s">
        <v>2402</v>
      </c>
      <c r="D216" s="102" t="s">
        <v>26</v>
      </c>
      <c r="E216" s="36">
        <v>1</v>
      </c>
      <c r="G216" s="104">
        <f>F216*E216</f>
        <v>0</v>
      </c>
    </row>
    <row r="217" spans="1:8" x14ac:dyDescent="0.25">
      <c r="A217" s="449" t="s">
        <v>2254</v>
      </c>
      <c r="C217" s="20" t="s">
        <v>79</v>
      </c>
    </row>
    <row r="218" spans="1:8" ht="26.4" x14ac:dyDescent="0.25">
      <c r="A218" s="449" t="s">
        <v>2255</v>
      </c>
      <c r="B218" s="520" t="s">
        <v>67</v>
      </c>
      <c r="C218" s="10" t="s">
        <v>427</v>
      </c>
      <c r="D218" s="102" t="s">
        <v>26</v>
      </c>
      <c r="E218" s="36">
        <v>2</v>
      </c>
      <c r="G218" s="104">
        <f>F218*E218</f>
        <v>0</v>
      </c>
    </row>
    <row r="219" spans="1:8" ht="39.6" x14ac:dyDescent="0.25">
      <c r="A219" s="449" t="s">
        <v>2256</v>
      </c>
      <c r="B219" s="520" t="s">
        <v>132</v>
      </c>
      <c r="C219" s="10" t="s">
        <v>624</v>
      </c>
      <c r="D219" s="102" t="s">
        <v>28</v>
      </c>
      <c r="E219" s="36">
        <f>4.44+6.685+1.5+4.6+0.9+4.35+1.6+0.75+2+1.4</f>
        <v>28.225000000000001</v>
      </c>
      <c r="G219" s="104">
        <f t="shared" ref="G219:G224" si="3">E219*F219</f>
        <v>0</v>
      </c>
    </row>
    <row r="220" spans="1:8" x14ac:dyDescent="0.25">
      <c r="A220" s="449" t="s">
        <v>2257</v>
      </c>
      <c r="B220" s="520" t="s">
        <v>627</v>
      </c>
      <c r="C220" s="10" t="s">
        <v>622</v>
      </c>
      <c r="D220" s="102" t="s">
        <v>26</v>
      </c>
      <c r="E220" s="36">
        <v>1</v>
      </c>
      <c r="G220" s="104">
        <f t="shared" si="3"/>
        <v>0</v>
      </c>
    </row>
    <row r="221" spans="1:8" x14ac:dyDescent="0.25">
      <c r="A221" s="449" t="s">
        <v>2258</v>
      </c>
      <c r="B221" s="520" t="s">
        <v>627</v>
      </c>
      <c r="C221" s="10" t="s">
        <v>623</v>
      </c>
      <c r="D221" s="102" t="s">
        <v>26</v>
      </c>
      <c r="E221" s="36">
        <v>1</v>
      </c>
      <c r="G221" s="104">
        <f t="shared" si="3"/>
        <v>0</v>
      </c>
    </row>
    <row r="222" spans="1:8" ht="26.4" x14ac:dyDescent="0.25">
      <c r="A222" s="449" t="s">
        <v>2259</v>
      </c>
      <c r="B222" s="520" t="s">
        <v>628</v>
      </c>
      <c r="C222" s="10" t="s">
        <v>2403</v>
      </c>
      <c r="D222" s="102" t="s">
        <v>26</v>
      </c>
      <c r="E222" s="36">
        <v>1</v>
      </c>
      <c r="G222" s="104">
        <f t="shared" si="3"/>
        <v>0</v>
      </c>
    </row>
    <row r="223" spans="1:8" ht="26.4" x14ac:dyDescent="0.25">
      <c r="A223" s="449" t="s">
        <v>2260</v>
      </c>
      <c r="B223" s="520" t="s">
        <v>628</v>
      </c>
      <c r="C223" s="10" t="s">
        <v>626</v>
      </c>
      <c r="D223" s="102" t="s">
        <v>26</v>
      </c>
      <c r="E223" s="36">
        <v>1</v>
      </c>
      <c r="G223" s="104">
        <f t="shared" si="3"/>
        <v>0</v>
      </c>
    </row>
    <row r="224" spans="1:8" ht="26.4" x14ac:dyDescent="0.25">
      <c r="A224" s="449" t="s">
        <v>2261</v>
      </c>
      <c r="B224" s="520" t="s">
        <v>186</v>
      </c>
      <c r="C224" s="10" t="s">
        <v>646</v>
      </c>
      <c r="D224" s="102" t="s">
        <v>26</v>
      </c>
      <c r="E224" s="36">
        <v>1</v>
      </c>
      <c r="G224" s="104">
        <f t="shared" si="3"/>
        <v>0</v>
      </c>
    </row>
    <row r="225" spans="1:8" x14ac:dyDescent="0.25">
      <c r="A225" s="449" t="s">
        <v>2262</v>
      </c>
      <c r="B225" s="987"/>
      <c r="C225" s="988" t="s">
        <v>458</v>
      </c>
      <c r="D225" s="974"/>
      <c r="E225" s="989"/>
      <c r="F225" s="990"/>
      <c r="G225" s="990"/>
      <c r="H225" s="603"/>
    </row>
    <row r="226" spans="1:8" x14ac:dyDescent="0.25">
      <c r="A226" s="449" t="s">
        <v>2263</v>
      </c>
      <c r="B226" s="602"/>
      <c r="C226" s="593" t="s">
        <v>625</v>
      </c>
      <c r="D226" s="571"/>
      <c r="E226" s="604"/>
      <c r="F226" s="605"/>
      <c r="G226" s="605"/>
      <c r="H226" s="603"/>
    </row>
    <row r="227" spans="1:8" x14ac:dyDescent="0.25">
      <c r="A227" s="449" t="s">
        <v>2264</v>
      </c>
      <c r="B227" s="602"/>
      <c r="C227" s="433" t="s">
        <v>459</v>
      </c>
      <c r="D227" s="399" t="s">
        <v>308</v>
      </c>
      <c r="E227" s="606">
        <v>1</v>
      </c>
      <c r="F227" s="607"/>
      <c r="G227" s="607">
        <f t="shared" ref="G227:G235" si="4">E227*F227</f>
        <v>0</v>
      </c>
      <c r="H227" s="603"/>
    </row>
    <row r="228" spans="1:8" ht="26.4" x14ac:dyDescent="0.25">
      <c r="A228" s="449" t="s">
        <v>2265</v>
      </c>
      <c r="B228" s="602"/>
      <c r="C228" s="594" t="s">
        <v>460</v>
      </c>
      <c r="D228" s="399" t="s">
        <v>26</v>
      </c>
      <c r="E228" s="606">
        <v>1</v>
      </c>
      <c r="F228" s="607"/>
      <c r="G228" s="607">
        <f t="shared" si="4"/>
        <v>0</v>
      </c>
      <c r="H228" s="603"/>
    </row>
    <row r="229" spans="1:8" ht="26.4" x14ac:dyDescent="0.25">
      <c r="A229" s="449" t="s">
        <v>2266</v>
      </c>
      <c r="B229" s="602"/>
      <c r="C229" s="4" t="s">
        <v>2500</v>
      </c>
      <c r="D229" s="399" t="s">
        <v>308</v>
      </c>
      <c r="E229" s="606">
        <v>1</v>
      </c>
      <c r="F229" s="607"/>
      <c r="G229" s="607">
        <f t="shared" si="4"/>
        <v>0</v>
      </c>
      <c r="H229" s="603"/>
    </row>
    <row r="230" spans="1:8" x14ac:dyDescent="0.25">
      <c r="A230" s="449" t="s">
        <v>2267</v>
      </c>
      <c r="B230" s="602"/>
      <c r="C230" s="4" t="s">
        <v>2501</v>
      </c>
      <c r="D230" s="399" t="s">
        <v>26</v>
      </c>
      <c r="E230" s="606">
        <v>1</v>
      </c>
      <c r="F230" s="607"/>
      <c r="G230" s="607">
        <f t="shared" si="4"/>
        <v>0</v>
      </c>
      <c r="H230" s="603"/>
    </row>
    <row r="231" spans="1:8" x14ac:dyDescent="0.25">
      <c r="A231" s="449" t="s">
        <v>2268</v>
      </c>
      <c r="B231" s="602"/>
      <c r="C231" s="594" t="s">
        <v>461</v>
      </c>
      <c r="D231" s="399" t="s">
        <v>15</v>
      </c>
      <c r="E231" s="606">
        <v>9</v>
      </c>
      <c r="F231" s="607"/>
      <c r="G231" s="607">
        <f t="shared" si="4"/>
        <v>0</v>
      </c>
      <c r="H231" s="603"/>
    </row>
    <row r="232" spans="1:8" x14ac:dyDescent="0.25">
      <c r="A232" s="449" t="s">
        <v>2269</v>
      </c>
      <c r="B232" s="602"/>
      <c r="C232" s="4" t="s">
        <v>2502</v>
      </c>
      <c r="D232" s="399" t="s">
        <v>26</v>
      </c>
      <c r="E232" s="606">
        <v>1</v>
      </c>
      <c r="F232" s="607"/>
      <c r="G232" s="607">
        <f t="shared" si="4"/>
        <v>0</v>
      </c>
      <c r="H232" s="603"/>
    </row>
    <row r="233" spans="1:8" x14ac:dyDescent="0.25">
      <c r="A233" s="449" t="s">
        <v>2270</v>
      </c>
      <c r="B233" s="602"/>
      <c r="C233" s="4" t="s">
        <v>2503</v>
      </c>
      <c r="D233" s="399" t="s">
        <v>26</v>
      </c>
      <c r="E233" s="606">
        <v>1</v>
      </c>
      <c r="F233" s="607"/>
      <c r="G233" s="607">
        <f t="shared" si="4"/>
        <v>0</v>
      </c>
      <c r="H233" s="603"/>
    </row>
    <row r="234" spans="1:8" ht="26.4" x14ac:dyDescent="0.25">
      <c r="A234" s="449" t="s">
        <v>2271</v>
      </c>
      <c r="B234" s="602"/>
      <c r="C234" s="4" t="s">
        <v>2504</v>
      </c>
      <c r="D234" s="399" t="s">
        <v>26</v>
      </c>
      <c r="E234" s="606">
        <v>1</v>
      </c>
      <c r="F234" s="607"/>
      <c r="G234" s="607">
        <f t="shared" si="4"/>
        <v>0</v>
      </c>
      <c r="H234" s="603"/>
    </row>
    <row r="235" spans="1:8" ht="46.2" customHeight="1" x14ac:dyDescent="0.25">
      <c r="A235" s="449" t="s">
        <v>2272</v>
      </c>
      <c r="B235" s="602"/>
      <c r="C235" s="4" t="s">
        <v>2505</v>
      </c>
      <c r="D235" s="399" t="s">
        <v>26</v>
      </c>
      <c r="E235" s="606">
        <v>8</v>
      </c>
      <c r="F235" s="607"/>
      <c r="G235" s="607">
        <f t="shared" si="4"/>
        <v>0</v>
      </c>
      <c r="H235" s="603"/>
    </row>
    <row r="236" spans="1:8" ht="118.8" x14ac:dyDescent="0.25">
      <c r="A236" s="449" t="s">
        <v>2273</v>
      </c>
      <c r="B236" s="602"/>
      <c r="C236" s="550" t="s">
        <v>467</v>
      </c>
      <c r="D236" s="571"/>
      <c r="E236" s="604"/>
      <c r="F236" s="605"/>
      <c r="G236" s="605"/>
      <c r="H236" s="603"/>
    </row>
    <row r="237" spans="1:8" ht="79.2" x14ac:dyDescent="0.25">
      <c r="A237" s="449" t="s">
        <v>2274</v>
      </c>
      <c r="C237" s="4" t="s">
        <v>466</v>
      </c>
      <c r="D237" s="399"/>
      <c r="E237" s="606"/>
      <c r="F237" s="607"/>
      <c r="G237" s="607"/>
    </row>
    <row r="238" spans="1:8" ht="66" x14ac:dyDescent="0.25">
      <c r="A238" s="449" t="s">
        <v>2275</v>
      </c>
      <c r="C238" s="4" t="s">
        <v>465</v>
      </c>
      <c r="D238" s="399"/>
      <c r="E238" s="606"/>
      <c r="F238" s="607"/>
      <c r="G238" s="607"/>
    </row>
    <row r="239" spans="1:8" ht="98.4" customHeight="1" x14ac:dyDescent="0.25">
      <c r="A239" s="449" t="s">
        <v>2276</v>
      </c>
      <c r="C239" s="4" t="s">
        <v>462</v>
      </c>
      <c r="D239" s="399"/>
      <c r="E239" s="606"/>
      <c r="F239" s="607"/>
      <c r="G239" s="607"/>
    </row>
    <row r="240" spans="1:8" ht="118.8" x14ac:dyDescent="0.25">
      <c r="A240" s="449" t="s">
        <v>2277</v>
      </c>
      <c r="C240" s="4" t="s">
        <v>464</v>
      </c>
      <c r="D240" s="399"/>
      <c r="E240" s="606"/>
      <c r="F240" s="607"/>
      <c r="G240" s="607"/>
    </row>
    <row r="241" spans="1:8" ht="59.4" customHeight="1" x14ac:dyDescent="0.25">
      <c r="A241" s="449" t="s">
        <v>2278</v>
      </c>
      <c r="C241" s="4" t="s">
        <v>463</v>
      </c>
      <c r="D241" s="399"/>
      <c r="E241" s="606"/>
      <c r="F241" s="607"/>
      <c r="G241" s="607"/>
    </row>
    <row r="242" spans="1:8" ht="105.6" x14ac:dyDescent="0.25">
      <c r="A242" s="449" t="s">
        <v>2279</v>
      </c>
      <c r="C242" s="4" t="s">
        <v>2506</v>
      </c>
      <c r="D242" s="399"/>
      <c r="E242" s="606"/>
      <c r="F242" s="607"/>
      <c r="G242" s="607"/>
    </row>
    <row r="243" spans="1:8" ht="118.8" x14ac:dyDescent="0.25">
      <c r="A243" s="449" t="s">
        <v>2280</v>
      </c>
      <c r="C243" s="4" t="s">
        <v>468</v>
      </c>
      <c r="D243" s="399"/>
      <c r="E243" s="606"/>
      <c r="F243" s="607"/>
      <c r="G243" s="607"/>
    </row>
    <row r="244" spans="1:8" x14ac:dyDescent="0.25">
      <c r="A244" s="449" t="s">
        <v>2281</v>
      </c>
      <c r="B244" s="897"/>
      <c r="C244" s="898" t="s">
        <v>2634</v>
      </c>
      <c r="D244" s="899"/>
      <c r="E244" s="900"/>
      <c r="F244" s="901"/>
      <c r="G244" s="902"/>
      <c r="H244" s="903"/>
    </row>
    <row r="245" spans="1:8" s="456" customFormat="1" x14ac:dyDescent="0.25">
      <c r="A245" s="449" t="s">
        <v>2282</v>
      </c>
      <c r="B245" s="524" t="s">
        <v>360</v>
      </c>
      <c r="C245" s="456" t="s">
        <v>227</v>
      </c>
      <c r="D245" s="443" t="s">
        <v>358</v>
      </c>
      <c r="E245" s="443">
        <v>64</v>
      </c>
      <c r="F245" s="444"/>
      <c r="G245" s="453">
        <f>E245*F245</f>
        <v>0</v>
      </c>
      <c r="H245" s="536"/>
    </row>
    <row r="246" spans="1:8" s="146" customFormat="1" ht="15" x14ac:dyDescent="0.25">
      <c r="A246" s="449" t="s">
        <v>2283</v>
      </c>
      <c r="B246" s="445"/>
      <c r="C246" s="432" t="s">
        <v>662</v>
      </c>
      <c r="D246" s="111" t="s">
        <v>26</v>
      </c>
      <c r="E246" s="112">
        <v>1</v>
      </c>
      <c r="F246" s="815"/>
      <c r="G246" s="113">
        <f>E246*F246</f>
        <v>0</v>
      </c>
      <c r="H246" s="145"/>
    </row>
    <row r="247" spans="1:8" s="10" customFormat="1" x14ac:dyDescent="0.25">
      <c r="A247" s="449" t="s">
        <v>2284</v>
      </c>
      <c r="C247" s="10" t="s">
        <v>669</v>
      </c>
      <c r="D247" s="18" t="s">
        <v>26</v>
      </c>
      <c r="E247" s="452">
        <v>1</v>
      </c>
      <c r="F247" s="452"/>
      <c r="G247" s="113">
        <f>E247*F247</f>
        <v>0</v>
      </c>
      <c r="H247" s="29"/>
    </row>
    <row r="248" spans="1:8" x14ac:dyDescent="0.25">
      <c r="C248" s="8"/>
      <c r="D248" s="8"/>
      <c r="E248" s="8"/>
      <c r="F248" s="441"/>
      <c r="G248" s="441"/>
    </row>
    <row r="249" spans="1:8" x14ac:dyDescent="0.25">
      <c r="C249" s="8"/>
      <c r="D249" s="8"/>
      <c r="E249" s="8"/>
      <c r="F249" s="441"/>
      <c r="G249" s="441"/>
    </row>
    <row r="250" spans="1:8" x14ac:dyDescent="0.25">
      <c r="C250" s="8"/>
      <c r="D250" s="8"/>
      <c r="E250" s="8"/>
      <c r="F250" s="441"/>
      <c r="G250" s="441"/>
    </row>
  </sheetData>
  <phoneticPr fontId="0" type="noConversion"/>
  <printOptions gridLines="1"/>
  <pageMargins left="0.59055118110236227" right="0.59055118110236227" top="0.59055118110236227" bottom="0.59055118110236227" header="0.31496062992125984" footer="0.31496062992125984"/>
  <pageSetup paperSize="9" scale="72" fitToHeight="100" orientation="portrait" horizontalDpi="4294967293" verticalDpi="300" r:id="rId1"/>
  <headerFooter alignWithMargins="0">
    <oddFoote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165"/>
  <sheetViews>
    <sheetView topLeftCell="A85" workbookViewId="0">
      <selection activeCell="F6" sqref="F6:F85"/>
    </sheetView>
  </sheetViews>
  <sheetFormatPr defaultColWidth="9.109375" defaultRowHeight="13.8" x14ac:dyDescent="0.3"/>
  <cols>
    <col min="1" max="1" width="7.6640625" style="268" customWidth="1"/>
    <col min="2" max="2" width="6.6640625" style="268" customWidth="1"/>
    <col min="3" max="3" width="47.6640625" style="335" customWidth="1"/>
    <col min="4" max="4" width="4.88671875" style="268" customWidth="1"/>
    <col min="5" max="5" width="6" style="268" customWidth="1"/>
    <col min="6" max="6" width="10.109375" style="268" customWidth="1"/>
    <col min="7" max="7" width="13.6640625" style="268" customWidth="1"/>
    <col min="8" max="10" width="9.109375" style="268"/>
    <col min="11" max="11" width="145.6640625" style="268" customWidth="1"/>
    <col min="12" max="16384" width="9.109375" style="268"/>
  </cols>
  <sheetData>
    <row r="1" spans="1:7" x14ac:dyDescent="0.3">
      <c r="A1" s="265"/>
      <c r="B1" s="266"/>
      <c r="C1" s="266"/>
      <c r="D1" s="266"/>
      <c r="E1" s="266"/>
      <c r="F1" s="266"/>
      <c r="G1" s="267"/>
    </row>
    <row r="2" spans="1:7" ht="19.2" x14ac:dyDescent="0.35">
      <c r="A2" s="269" t="s">
        <v>2442</v>
      </c>
      <c r="B2" s="270"/>
      <c r="C2" s="271"/>
      <c r="D2" s="271"/>
      <c r="E2" s="271"/>
      <c r="F2" s="271"/>
      <c r="G2" s="272"/>
    </row>
    <row r="3" spans="1:7" ht="14.4" thickBot="1" x14ac:dyDescent="0.35">
      <c r="A3" s="273"/>
      <c r="B3" s="274"/>
      <c r="C3" s="274"/>
      <c r="D3" s="275"/>
      <c r="E3" s="275"/>
      <c r="F3" s="274"/>
      <c r="G3" s="276"/>
    </row>
    <row r="4" spans="1:7" s="281" customFormat="1" ht="34.5" customHeight="1" thickBot="1" x14ac:dyDescent="0.35">
      <c r="A4" s="277" t="s">
        <v>1873</v>
      </c>
      <c r="B4" s="278"/>
      <c r="C4" s="279" t="s">
        <v>1874</v>
      </c>
      <c r="D4" s="278" t="s">
        <v>850</v>
      </c>
      <c r="E4" s="278" t="s">
        <v>1875</v>
      </c>
      <c r="F4" s="278" t="s">
        <v>1876</v>
      </c>
      <c r="G4" s="280" t="s">
        <v>1728</v>
      </c>
    </row>
    <row r="5" spans="1:7" s="281" customFormat="1" ht="15.6" x14ac:dyDescent="0.3">
      <c r="A5" s="284"/>
      <c r="B5" s="284"/>
      <c r="C5" s="285" t="s">
        <v>1877</v>
      </c>
      <c r="D5" s="286"/>
      <c r="E5" s="284"/>
      <c r="F5" s="287"/>
      <c r="G5" s="287"/>
    </row>
    <row r="6" spans="1:7" s="281" customFormat="1" ht="15.75" customHeight="1" x14ac:dyDescent="0.3">
      <c r="A6" s="288">
        <v>1</v>
      </c>
      <c r="B6" s="289" t="s">
        <v>1878</v>
      </c>
      <c r="C6" s="290" t="s">
        <v>1879</v>
      </c>
      <c r="D6" s="289" t="s">
        <v>26</v>
      </c>
      <c r="E6" s="288">
        <v>1</v>
      </c>
      <c r="F6" s="291"/>
      <c r="G6" s="291">
        <f>F6*E6</f>
        <v>0</v>
      </c>
    </row>
    <row r="7" spans="1:7" s="281" customFormat="1" ht="32.25" customHeight="1" x14ac:dyDescent="0.3">
      <c r="A7" s="288">
        <v>2</v>
      </c>
      <c r="B7" s="289" t="s">
        <v>1880</v>
      </c>
      <c r="C7" s="290" t="s">
        <v>1881</v>
      </c>
      <c r="D7" s="289" t="s">
        <v>26</v>
      </c>
      <c r="E7" s="288">
        <v>1</v>
      </c>
      <c r="F7" s="291"/>
      <c r="G7" s="291">
        <f t="shared" ref="G7:G21" si="0">F7*E7</f>
        <v>0</v>
      </c>
    </row>
    <row r="8" spans="1:7" s="281" customFormat="1" ht="15.75" customHeight="1" x14ac:dyDescent="0.3">
      <c r="A8" s="288">
        <v>3</v>
      </c>
      <c r="B8" s="289"/>
      <c r="C8" s="290" t="s">
        <v>1882</v>
      </c>
      <c r="D8" s="289" t="s">
        <v>51</v>
      </c>
      <c r="E8" s="288">
        <v>25</v>
      </c>
      <c r="F8" s="291"/>
      <c r="G8" s="291">
        <f t="shared" si="0"/>
        <v>0</v>
      </c>
    </row>
    <row r="9" spans="1:7" s="281" customFormat="1" ht="15.75" customHeight="1" x14ac:dyDescent="0.3">
      <c r="A9" s="288">
        <v>4</v>
      </c>
      <c r="B9" s="289"/>
      <c r="C9" s="290" t="s">
        <v>1883</v>
      </c>
      <c r="D9" s="289" t="s">
        <v>51</v>
      </c>
      <c r="E9" s="288">
        <v>50</v>
      </c>
      <c r="F9" s="291"/>
      <c r="G9" s="291">
        <f t="shared" si="0"/>
        <v>0</v>
      </c>
    </row>
    <row r="10" spans="1:7" s="281" customFormat="1" ht="63" customHeight="1" x14ac:dyDescent="0.3">
      <c r="A10" s="288">
        <v>5</v>
      </c>
      <c r="B10" s="289" t="s">
        <v>1884</v>
      </c>
      <c r="C10" s="290" t="s">
        <v>1885</v>
      </c>
      <c r="D10" s="289" t="s">
        <v>26</v>
      </c>
      <c r="E10" s="288">
        <v>1</v>
      </c>
      <c r="F10" s="291"/>
      <c r="G10" s="291">
        <f t="shared" si="0"/>
        <v>0</v>
      </c>
    </row>
    <row r="11" spans="1:7" s="281" customFormat="1" ht="16.5" customHeight="1" x14ac:dyDescent="0.3">
      <c r="A11" s="288">
        <v>6</v>
      </c>
      <c r="B11" s="289" t="s">
        <v>1886</v>
      </c>
      <c r="C11" s="290" t="s">
        <v>1887</v>
      </c>
      <c r="D11" s="289" t="s">
        <v>26</v>
      </c>
      <c r="E11" s="288">
        <v>1</v>
      </c>
      <c r="F11" s="291"/>
      <c r="G11" s="291">
        <f t="shared" si="0"/>
        <v>0</v>
      </c>
    </row>
    <row r="12" spans="1:7" s="281" customFormat="1" ht="48" customHeight="1" x14ac:dyDescent="0.3">
      <c r="A12" s="288">
        <v>7</v>
      </c>
      <c r="B12" s="289" t="s">
        <v>1888</v>
      </c>
      <c r="C12" s="292" t="s">
        <v>1889</v>
      </c>
      <c r="D12" s="289" t="s">
        <v>26</v>
      </c>
      <c r="E12" s="288">
        <v>1</v>
      </c>
      <c r="F12" s="291"/>
      <c r="G12" s="291">
        <f t="shared" si="0"/>
        <v>0</v>
      </c>
    </row>
    <row r="13" spans="1:7" s="281" customFormat="1" ht="16.5" customHeight="1" x14ac:dyDescent="0.3">
      <c r="A13" s="288">
        <v>8</v>
      </c>
      <c r="B13" s="289" t="s">
        <v>1890</v>
      </c>
      <c r="C13" s="290" t="s">
        <v>1891</v>
      </c>
      <c r="D13" s="289" t="s">
        <v>26</v>
      </c>
      <c r="E13" s="288">
        <v>1</v>
      </c>
      <c r="F13" s="291"/>
      <c r="G13" s="291">
        <f t="shared" si="0"/>
        <v>0</v>
      </c>
    </row>
    <row r="14" spans="1:7" s="281" customFormat="1" ht="16.5" customHeight="1" x14ac:dyDescent="0.3">
      <c r="A14" s="288">
        <v>9</v>
      </c>
      <c r="B14" s="289" t="s">
        <v>1892</v>
      </c>
      <c r="C14" s="290" t="s">
        <v>1893</v>
      </c>
      <c r="D14" s="289" t="s">
        <v>26</v>
      </c>
      <c r="E14" s="288">
        <v>1</v>
      </c>
      <c r="F14" s="291"/>
      <c r="G14" s="291">
        <f t="shared" si="0"/>
        <v>0</v>
      </c>
    </row>
    <row r="15" spans="1:7" s="281" customFormat="1" ht="16.5" customHeight="1" x14ac:dyDescent="0.3">
      <c r="A15" s="288">
        <v>10</v>
      </c>
      <c r="B15" s="289" t="s">
        <v>1894</v>
      </c>
      <c r="C15" s="290" t="s">
        <v>1895</v>
      </c>
      <c r="D15" s="289" t="s">
        <v>26</v>
      </c>
      <c r="E15" s="288">
        <v>2</v>
      </c>
      <c r="F15" s="291"/>
      <c r="G15" s="291">
        <f t="shared" si="0"/>
        <v>0</v>
      </c>
    </row>
    <row r="16" spans="1:7" s="281" customFormat="1" ht="31.2" x14ac:dyDescent="0.3">
      <c r="A16" s="288">
        <v>11</v>
      </c>
      <c r="B16" s="289" t="s">
        <v>1896</v>
      </c>
      <c r="C16" s="290" t="s">
        <v>1897</v>
      </c>
      <c r="D16" s="289" t="s">
        <v>26</v>
      </c>
      <c r="E16" s="288">
        <v>1</v>
      </c>
      <c r="F16" s="291"/>
      <c r="G16" s="291">
        <f t="shared" si="0"/>
        <v>0</v>
      </c>
    </row>
    <row r="17" spans="1:7" s="281" customFormat="1" ht="16.5" customHeight="1" x14ac:dyDescent="0.3">
      <c r="A17" s="288">
        <v>12</v>
      </c>
      <c r="B17" s="289" t="s">
        <v>1898</v>
      </c>
      <c r="C17" s="290" t="s">
        <v>1899</v>
      </c>
      <c r="D17" s="289" t="s">
        <v>26</v>
      </c>
      <c r="E17" s="288">
        <v>1</v>
      </c>
      <c r="F17" s="291"/>
      <c r="G17" s="291">
        <f t="shared" si="0"/>
        <v>0</v>
      </c>
    </row>
    <row r="18" spans="1:7" s="281" customFormat="1" ht="15.6" x14ac:dyDescent="0.3">
      <c r="A18" s="288">
        <v>13</v>
      </c>
      <c r="B18" s="289" t="s">
        <v>1900</v>
      </c>
      <c r="C18" s="290" t="s">
        <v>1901</v>
      </c>
      <c r="D18" s="289" t="s">
        <v>26</v>
      </c>
      <c r="E18" s="288">
        <v>1</v>
      </c>
      <c r="F18" s="291"/>
      <c r="G18" s="291">
        <f t="shared" si="0"/>
        <v>0</v>
      </c>
    </row>
    <row r="19" spans="1:7" s="281" customFormat="1" ht="15.6" x14ac:dyDescent="0.3">
      <c r="A19" s="288">
        <v>14</v>
      </c>
      <c r="B19" s="289" t="s">
        <v>1902</v>
      </c>
      <c r="C19" s="290" t="s">
        <v>1903</v>
      </c>
      <c r="D19" s="289" t="s">
        <v>26</v>
      </c>
      <c r="E19" s="288">
        <v>1</v>
      </c>
      <c r="F19" s="291"/>
      <c r="G19" s="291">
        <f t="shared" si="0"/>
        <v>0</v>
      </c>
    </row>
    <row r="20" spans="1:7" s="281" customFormat="1" ht="30" customHeight="1" x14ac:dyDescent="0.3">
      <c r="A20" s="288">
        <v>15</v>
      </c>
      <c r="B20" s="289" t="s">
        <v>1904</v>
      </c>
      <c r="C20" s="290" t="s">
        <v>1905</v>
      </c>
      <c r="D20" s="289" t="s">
        <v>26</v>
      </c>
      <c r="E20" s="288">
        <v>1</v>
      </c>
      <c r="F20" s="291"/>
      <c r="G20" s="291">
        <f t="shared" si="0"/>
        <v>0</v>
      </c>
    </row>
    <row r="21" spans="1:7" s="281" customFormat="1" ht="31.5" customHeight="1" thickBot="1" x14ac:dyDescent="0.35">
      <c r="A21" s="288">
        <v>16</v>
      </c>
      <c r="B21" s="289" t="s">
        <v>1906</v>
      </c>
      <c r="C21" s="290" t="s">
        <v>1907</v>
      </c>
      <c r="D21" s="289" t="s">
        <v>26</v>
      </c>
      <c r="E21" s="288">
        <v>1</v>
      </c>
      <c r="F21" s="291"/>
      <c r="G21" s="291">
        <f t="shared" si="0"/>
        <v>0</v>
      </c>
    </row>
    <row r="22" spans="1:7" s="281" customFormat="1" ht="16.2" thickBot="1" x14ac:dyDescent="0.35">
      <c r="A22" s="293"/>
      <c r="B22" s="294"/>
      <c r="C22" s="295" t="s">
        <v>1908</v>
      </c>
      <c r="D22" s="296"/>
      <c r="E22" s="296"/>
      <c r="F22" s="297"/>
      <c r="G22" s="298">
        <f>SUM(G6:G21)</f>
        <v>0</v>
      </c>
    </row>
    <row r="23" spans="1:7" s="281" customFormat="1" ht="15.6" x14ac:dyDescent="0.3">
      <c r="A23" s="284"/>
      <c r="B23" s="284"/>
      <c r="C23" s="285" t="s">
        <v>1909</v>
      </c>
      <c r="D23" s="286"/>
      <c r="E23" s="284"/>
      <c r="F23" s="287"/>
      <c r="G23" s="287"/>
    </row>
    <row r="24" spans="1:7" s="281" customFormat="1" ht="63" customHeight="1" x14ac:dyDescent="0.3">
      <c r="A24" s="288">
        <v>17</v>
      </c>
      <c r="B24" s="289" t="s">
        <v>1910</v>
      </c>
      <c r="C24" s="290" t="s">
        <v>1911</v>
      </c>
      <c r="D24" s="289" t="s">
        <v>26</v>
      </c>
      <c r="E24" s="288">
        <v>1</v>
      </c>
      <c r="F24" s="291"/>
      <c r="G24" s="291">
        <f>F24*E24</f>
        <v>0</v>
      </c>
    </row>
    <row r="25" spans="1:7" s="281" customFormat="1" ht="17.25" customHeight="1" thickBot="1" x14ac:dyDescent="0.35">
      <c r="A25" s="288">
        <v>18</v>
      </c>
      <c r="B25" s="289" t="s">
        <v>1912</v>
      </c>
      <c r="C25" s="290" t="s">
        <v>1913</v>
      </c>
      <c r="D25" s="289" t="s">
        <v>26</v>
      </c>
      <c r="E25" s="288">
        <v>1</v>
      </c>
      <c r="F25" s="291"/>
      <c r="G25" s="291">
        <f>F25*E25</f>
        <v>0</v>
      </c>
    </row>
    <row r="26" spans="1:7" s="281" customFormat="1" ht="16.2" thickBot="1" x14ac:dyDescent="0.35">
      <c r="A26" s="293"/>
      <c r="B26" s="294"/>
      <c r="C26" s="295" t="s">
        <v>1914</v>
      </c>
      <c r="D26" s="296"/>
      <c r="E26" s="296"/>
      <c r="F26" s="297"/>
      <c r="G26" s="298">
        <f>SUM(G24:G25)</f>
        <v>0</v>
      </c>
    </row>
    <row r="27" spans="1:7" s="281" customFormat="1" ht="15.6" x14ac:dyDescent="0.3">
      <c r="A27" s="284"/>
      <c r="B27" s="284"/>
      <c r="C27" s="285" t="s">
        <v>1915</v>
      </c>
      <c r="D27" s="286"/>
      <c r="E27" s="284"/>
      <c r="F27" s="287"/>
      <c r="G27" s="287"/>
    </row>
    <row r="28" spans="1:7" s="281" customFormat="1" ht="29.25" customHeight="1" x14ac:dyDescent="0.3">
      <c r="A28" s="288">
        <v>19</v>
      </c>
      <c r="B28" s="289" t="s">
        <v>1916</v>
      </c>
      <c r="C28" s="290" t="s">
        <v>1917</v>
      </c>
      <c r="D28" s="289" t="s">
        <v>26</v>
      </c>
      <c r="E28" s="288">
        <v>7</v>
      </c>
      <c r="F28" s="291"/>
      <c r="G28" s="291">
        <f>F28*E28</f>
        <v>0</v>
      </c>
    </row>
    <row r="29" spans="1:7" s="281" customFormat="1" ht="29.25" customHeight="1" x14ac:dyDescent="0.3">
      <c r="A29" s="288">
        <v>20</v>
      </c>
      <c r="B29" s="289" t="s">
        <v>1918</v>
      </c>
      <c r="C29" s="290" t="s">
        <v>1919</v>
      </c>
      <c r="D29" s="289" t="s">
        <v>26</v>
      </c>
      <c r="E29" s="288">
        <v>1</v>
      </c>
      <c r="F29" s="291"/>
      <c r="G29" s="291">
        <f>F29*E29</f>
        <v>0</v>
      </c>
    </row>
    <row r="30" spans="1:7" s="281" customFormat="1" ht="29.25" customHeight="1" thickBot="1" x14ac:dyDescent="0.35">
      <c r="A30" s="304">
        <v>21</v>
      </c>
      <c r="B30" s="305"/>
      <c r="C30" s="306" t="s">
        <v>1920</v>
      </c>
      <c r="D30" s="289" t="s">
        <v>26</v>
      </c>
      <c r="E30" s="288">
        <v>1</v>
      </c>
      <c r="F30" s="291"/>
      <c r="G30" s="291">
        <f>F30*E30</f>
        <v>0</v>
      </c>
    </row>
    <row r="31" spans="1:7" s="281" customFormat="1" ht="16.2" thickBot="1" x14ac:dyDescent="0.35">
      <c r="A31" s="293"/>
      <c r="B31" s="294"/>
      <c r="C31" s="295" t="s">
        <v>1921</v>
      </c>
      <c r="D31" s="296"/>
      <c r="E31" s="296"/>
      <c r="F31" s="297"/>
      <c r="G31" s="298">
        <f>SUM(G28:G30)</f>
        <v>0</v>
      </c>
    </row>
    <row r="32" spans="1:7" s="281" customFormat="1" ht="15.6" x14ac:dyDescent="0.3">
      <c r="A32" s="284"/>
      <c r="B32" s="284"/>
      <c r="C32" s="285" t="s">
        <v>1922</v>
      </c>
      <c r="D32" s="286"/>
      <c r="E32" s="284"/>
      <c r="F32" s="287"/>
      <c r="G32" s="287"/>
    </row>
    <row r="33" spans="1:7" s="281" customFormat="1" ht="31.2" x14ac:dyDescent="0.3">
      <c r="A33" s="288">
        <v>22</v>
      </c>
      <c r="B33" s="289" t="s">
        <v>1923</v>
      </c>
      <c r="C33" s="307" t="s">
        <v>1924</v>
      </c>
      <c r="D33" s="289" t="s">
        <v>26</v>
      </c>
      <c r="E33" s="288">
        <v>7</v>
      </c>
      <c r="F33" s="291"/>
      <c r="G33" s="291">
        <f t="shared" ref="G33:G47" si="1">ROUND(E33*F33,0)</f>
        <v>0</v>
      </c>
    </row>
    <row r="34" spans="1:7" s="281" customFormat="1" ht="15.6" x14ac:dyDescent="0.3">
      <c r="A34" s="288">
        <v>23</v>
      </c>
      <c r="B34" s="289" t="s">
        <v>1925</v>
      </c>
      <c r="C34" s="307" t="s">
        <v>1926</v>
      </c>
      <c r="D34" s="289" t="s">
        <v>26</v>
      </c>
      <c r="E34" s="288">
        <v>1</v>
      </c>
      <c r="F34" s="291"/>
      <c r="G34" s="291">
        <f t="shared" si="1"/>
        <v>0</v>
      </c>
    </row>
    <row r="35" spans="1:7" s="281" customFormat="1" ht="15.6" x14ac:dyDescent="0.3">
      <c r="A35" s="288">
        <v>24</v>
      </c>
      <c r="B35" s="289" t="s">
        <v>1927</v>
      </c>
      <c r="C35" s="307" t="s">
        <v>1928</v>
      </c>
      <c r="D35" s="289" t="s">
        <v>26</v>
      </c>
      <c r="E35" s="288">
        <v>1</v>
      </c>
      <c r="F35" s="291"/>
      <c r="G35" s="291">
        <f t="shared" si="1"/>
        <v>0</v>
      </c>
    </row>
    <row r="36" spans="1:7" s="281" customFormat="1" ht="31.2" x14ac:dyDescent="0.3">
      <c r="A36" s="288">
        <v>25</v>
      </c>
      <c r="B36" s="289" t="s">
        <v>1929</v>
      </c>
      <c r="C36" s="307" t="s">
        <v>1930</v>
      </c>
      <c r="D36" s="289" t="s">
        <v>26</v>
      </c>
      <c r="E36" s="288">
        <v>1</v>
      </c>
      <c r="F36" s="291"/>
      <c r="G36" s="291">
        <f>ROUND(E36*F36,0)</f>
        <v>0</v>
      </c>
    </row>
    <row r="37" spans="1:7" s="281" customFormat="1" ht="31.2" x14ac:dyDescent="0.3">
      <c r="A37" s="288">
        <v>26</v>
      </c>
      <c r="B37" s="289" t="s">
        <v>1931</v>
      </c>
      <c r="C37" s="307" t="s">
        <v>1932</v>
      </c>
      <c r="D37" s="289" t="s">
        <v>26</v>
      </c>
      <c r="E37" s="288">
        <v>1</v>
      </c>
      <c r="F37" s="291"/>
      <c r="G37" s="291">
        <f>ROUND(E37*F37,0)</f>
        <v>0</v>
      </c>
    </row>
    <row r="38" spans="1:7" s="281" customFormat="1" ht="31.2" x14ac:dyDescent="0.3">
      <c r="A38" s="288">
        <v>27</v>
      </c>
      <c r="B38" s="289" t="s">
        <v>1933</v>
      </c>
      <c r="C38" s="307" t="s">
        <v>1934</v>
      </c>
      <c r="D38" s="289" t="s">
        <v>26</v>
      </c>
      <c r="E38" s="288">
        <v>1</v>
      </c>
      <c r="F38" s="291"/>
      <c r="G38" s="291">
        <f t="shared" si="1"/>
        <v>0</v>
      </c>
    </row>
    <row r="39" spans="1:7" s="281" customFormat="1" ht="15.6" x14ac:dyDescent="0.3">
      <c r="A39" s="288">
        <v>28</v>
      </c>
      <c r="B39" s="289" t="s">
        <v>1935</v>
      </c>
      <c r="C39" s="307" t="s">
        <v>1936</v>
      </c>
      <c r="D39" s="289" t="s">
        <v>26</v>
      </c>
      <c r="E39" s="288">
        <v>1</v>
      </c>
      <c r="F39" s="291"/>
      <c r="G39" s="291">
        <f t="shared" si="1"/>
        <v>0</v>
      </c>
    </row>
    <row r="40" spans="1:7" s="281" customFormat="1" ht="31.2" x14ac:dyDescent="0.3">
      <c r="A40" s="288">
        <v>29</v>
      </c>
      <c r="B40" s="289" t="s">
        <v>1937</v>
      </c>
      <c r="C40" s="307" t="s">
        <v>1938</v>
      </c>
      <c r="D40" s="289" t="s">
        <v>26</v>
      </c>
      <c r="E40" s="288">
        <v>1</v>
      </c>
      <c r="F40" s="291"/>
      <c r="G40" s="291">
        <f t="shared" si="1"/>
        <v>0</v>
      </c>
    </row>
    <row r="41" spans="1:7" s="281" customFormat="1" ht="31.2" x14ac:dyDescent="0.3">
      <c r="A41" s="288">
        <v>30</v>
      </c>
      <c r="B41" s="289" t="s">
        <v>1939</v>
      </c>
      <c r="C41" s="307" t="s">
        <v>1940</v>
      </c>
      <c r="D41" s="289" t="s">
        <v>26</v>
      </c>
      <c r="E41" s="288">
        <v>1</v>
      </c>
      <c r="F41" s="291"/>
      <c r="G41" s="291">
        <f t="shared" si="1"/>
        <v>0</v>
      </c>
    </row>
    <row r="42" spans="1:7" s="281" customFormat="1" ht="31.2" x14ac:dyDescent="0.3">
      <c r="A42" s="288">
        <v>31</v>
      </c>
      <c r="B42" s="289" t="s">
        <v>1941</v>
      </c>
      <c r="C42" s="307" t="s">
        <v>1942</v>
      </c>
      <c r="D42" s="289" t="s">
        <v>26</v>
      </c>
      <c r="E42" s="288">
        <v>2</v>
      </c>
      <c r="F42" s="291"/>
      <c r="G42" s="291">
        <f t="shared" si="1"/>
        <v>0</v>
      </c>
    </row>
    <row r="43" spans="1:7" s="281" customFormat="1" ht="31.2" x14ac:dyDescent="0.3">
      <c r="A43" s="288">
        <v>32</v>
      </c>
      <c r="B43" s="289" t="s">
        <v>1943</v>
      </c>
      <c r="C43" s="307" t="s">
        <v>1944</v>
      </c>
      <c r="D43" s="289" t="s">
        <v>26</v>
      </c>
      <c r="E43" s="288">
        <v>1</v>
      </c>
      <c r="F43" s="291"/>
      <c r="G43" s="291">
        <f t="shared" si="1"/>
        <v>0</v>
      </c>
    </row>
    <row r="44" spans="1:7" s="281" customFormat="1" ht="31.2" x14ac:dyDescent="0.3">
      <c r="A44" s="288">
        <v>33</v>
      </c>
      <c r="B44" s="289" t="s">
        <v>1945</v>
      </c>
      <c r="C44" s="307" t="s">
        <v>1946</v>
      </c>
      <c r="D44" s="289" t="s">
        <v>26</v>
      </c>
      <c r="E44" s="288">
        <v>1</v>
      </c>
      <c r="F44" s="291"/>
      <c r="G44" s="291">
        <f t="shared" si="1"/>
        <v>0</v>
      </c>
    </row>
    <row r="45" spans="1:7" s="281" customFormat="1" ht="15.6" x14ac:dyDescent="0.3">
      <c r="A45" s="288">
        <v>34</v>
      </c>
      <c r="B45" s="289" t="s">
        <v>1947</v>
      </c>
      <c r="C45" s="307" t="s">
        <v>1948</v>
      </c>
      <c r="D45" s="289" t="s">
        <v>26</v>
      </c>
      <c r="E45" s="288">
        <v>2</v>
      </c>
      <c r="F45" s="291"/>
      <c r="G45" s="291">
        <f t="shared" si="1"/>
        <v>0</v>
      </c>
    </row>
    <row r="46" spans="1:7" s="281" customFormat="1" ht="31.2" x14ac:dyDescent="0.3">
      <c r="A46" s="288">
        <v>35</v>
      </c>
      <c r="B46" s="289" t="s">
        <v>1949</v>
      </c>
      <c r="C46" s="307" t="s">
        <v>1950</v>
      </c>
      <c r="D46" s="289" t="s">
        <v>26</v>
      </c>
      <c r="E46" s="288">
        <v>1</v>
      </c>
      <c r="F46" s="291"/>
      <c r="G46" s="291">
        <f t="shared" si="1"/>
        <v>0</v>
      </c>
    </row>
    <row r="47" spans="1:7" s="281" customFormat="1" ht="31.8" thickBot="1" x14ac:dyDescent="0.35">
      <c r="A47" s="288">
        <v>36</v>
      </c>
      <c r="B47" s="289" t="s">
        <v>1951</v>
      </c>
      <c r="C47" s="307" t="s">
        <v>1952</v>
      </c>
      <c r="D47" s="289" t="s">
        <v>26</v>
      </c>
      <c r="E47" s="288">
        <v>2</v>
      </c>
      <c r="F47" s="291"/>
      <c r="G47" s="291">
        <f t="shared" si="1"/>
        <v>0</v>
      </c>
    </row>
    <row r="48" spans="1:7" s="281" customFormat="1" ht="16.2" thickBot="1" x14ac:dyDescent="0.35">
      <c r="A48" s="293"/>
      <c r="B48" s="294"/>
      <c r="C48" s="295" t="s">
        <v>1953</v>
      </c>
      <c r="D48" s="296"/>
      <c r="E48" s="296"/>
      <c r="F48" s="297"/>
      <c r="G48" s="298">
        <f>SUM(G33:G47)</f>
        <v>0</v>
      </c>
    </row>
    <row r="49" spans="1:7" ht="15.6" x14ac:dyDescent="0.3">
      <c r="A49" s="308"/>
      <c r="B49" s="308"/>
      <c r="C49" s="309" t="s">
        <v>1954</v>
      </c>
      <c r="D49" s="310"/>
      <c r="E49" s="311"/>
      <c r="F49" s="312"/>
      <c r="G49" s="312"/>
    </row>
    <row r="50" spans="1:7" ht="33" customHeight="1" x14ac:dyDescent="0.3">
      <c r="A50" s="288">
        <v>37</v>
      </c>
      <c r="B50" s="289"/>
      <c r="C50" s="307" t="s">
        <v>1955</v>
      </c>
      <c r="D50" s="288" t="s">
        <v>140</v>
      </c>
      <c r="E50" s="288">
        <v>10.1</v>
      </c>
      <c r="F50" s="291"/>
      <c r="G50" s="291">
        <f t="shared" ref="G50:G66" si="2">E50*F50</f>
        <v>0</v>
      </c>
    </row>
    <row r="51" spans="1:7" ht="33.75" customHeight="1" x14ac:dyDescent="0.3">
      <c r="A51" s="288">
        <v>38</v>
      </c>
      <c r="B51" s="289"/>
      <c r="C51" s="307" t="s">
        <v>1956</v>
      </c>
      <c r="D51" s="288" t="s">
        <v>140</v>
      </c>
      <c r="E51" s="288">
        <v>15.9</v>
      </c>
      <c r="F51" s="291"/>
      <c r="G51" s="291">
        <f t="shared" si="2"/>
        <v>0</v>
      </c>
    </row>
    <row r="52" spans="1:7" ht="32.25" customHeight="1" x14ac:dyDescent="0.3">
      <c r="A52" s="288">
        <v>39</v>
      </c>
      <c r="B52" s="289"/>
      <c r="C52" s="307" t="s">
        <v>1957</v>
      </c>
      <c r="D52" s="288" t="s">
        <v>140</v>
      </c>
      <c r="E52" s="288">
        <v>0.2</v>
      </c>
      <c r="F52" s="291"/>
      <c r="G52" s="291">
        <f t="shared" si="2"/>
        <v>0</v>
      </c>
    </row>
    <row r="53" spans="1:7" ht="30" customHeight="1" x14ac:dyDescent="0.3">
      <c r="A53" s="288">
        <v>40</v>
      </c>
      <c r="B53" s="289"/>
      <c r="C53" s="307" t="s">
        <v>1958</v>
      </c>
      <c r="D53" s="288" t="s">
        <v>140</v>
      </c>
      <c r="E53" s="288">
        <v>26.9</v>
      </c>
      <c r="F53" s="291"/>
      <c r="G53" s="291">
        <f t="shared" si="2"/>
        <v>0</v>
      </c>
    </row>
    <row r="54" spans="1:7" ht="32.25" customHeight="1" x14ac:dyDescent="0.3">
      <c r="A54" s="288">
        <v>41</v>
      </c>
      <c r="B54" s="289"/>
      <c r="C54" s="307" t="s">
        <v>1959</v>
      </c>
      <c r="D54" s="288" t="s">
        <v>140</v>
      </c>
      <c r="E54" s="288">
        <v>25.5</v>
      </c>
      <c r="F54" s="291"/>
      <c r="G54" s="291">
        <f t="shared" si="2"/>
        <v>0</v>
      </c>
    </row>
    <row r="55" spans="1:7" ht="32.25" customHeight="1" x14ac:dyDescent="0.3">
      <c r="A55" s="288">
        <v>42</v>
      </c>
      <c r="B55" s="289"/>
      <c r="C55" s="307" t="s">
        <v>1960</v>
      </c>
      <c r="D55" s="288" t="s">
        <v>140</v>
      </c>
      <c r="E55" s="288">
        <v>3</v>
      </c>
      <c r="F55" s="291"/>
      <c r="G55" s="291">
        <f>E55*F55</f>
        <v>0</v>
      </c>
    </row>
    <row r="56" spans="1:7" ht="18.75" customHeight="1" x14ac:dyDescent="0.3">
      <c r="A56" s="288">
        <v>43</v>
      </c>
      <c r="B56" s="289"/>
      <c r="C56" s="307" t="s">
        <v>1961</v>
      </c>
      <c r="D56" s="288" t="s">
        <v>140</v>
      </c>
      <c r="E56" s="288">
        <v>4.3</v>
      </c>
      <c r="F56" s="291"/>
      <c r="G56" s="291">
        <f>E56*F56</f>
        <v>0</v>
      </c>
    </row>
    <row r="57" spans="1:7" ht="18.75" customHeight="1" x14ac:dyDescent="0.3">
      <c r="A57" s="288">
        <v>46</v>
      </c>
      <c r="B57" s="289"/>
      <c r="C57" s="307" t="s">
        <v>1962</v>
      </c>
      <c r="D57" s="288" t="s">
        <v>140</v>
      </c>
      <c r="E57" s="288">
        <v>92.7</v>
      </c>
      <c r="F57" s="291"/>
      <c r="G57" s="291">
        <f>E57*F57</f>
        <v>0</v>
      </c>
    </row>
    <row r="58" spans="1:7" ht="18.75" customHeight="1" x14ac:dyDescent="0.3">
      <c r="A58" s="288">
        <v>44</v>
      </c>
      <c r="B58" s="289"/>
      <c r="C58" s="307" t="s">
        <v>1963</v>
      </c>
      <c r="D58" s="288" t="s">
        <v>140</v>
      </c>
      <c r="E58" s="288">
        <v>25.7</v>
      </c>
      <c r="F58" s="291"/>
      <c r="G58" s="291">
        <f>E58*F58</f>
        <v>0</v>
      </c>
    </row>
    <row r="59" spans="1:7" ht="18.75" customHeight="1" x14ac:dyDescent="0.3">
      <c r="A59" s="288">
        <v>45</v>
      </c>
      <c r="B59" s="289"/>
      <c r="C59" s="307" t="s">
        <v>1964</v>
      </c>
      <c r="D59" s="288" t="s">
        <v>140</v>
      </c>
      <c r="E59" s="288">
        <v>24.5</v>
      </c>
      <c r="F59" s="291"/>
      <c r="G59" s="291">
        <f>E59*F59</f>
        <v>0</v>
      </c>
    </row>
    <row r="60" spans="1:7" ht="15.6" x14ac:dyDescent="0.3">
      <c r="A60" s="288">
        <v>47</v>
      </c>
      <c r="B60" s="289"/>
      <c r="C60" s="307" t="s">
        <v>1965</v>
      </c>
      <c r="D60" s="288" t="s">
        <v>26</v>
      </c>
      <c r="E60" s="288">
        <v>5</v>
      </c>
      <c r="F60" s="291"/>
      <c r="G60" s="291">
        <f t="shared" si="2"/>
        <v>0</v>
      </c>
    </row>
    <row r="61" spans="1:7" ht="15.6" x14ac:dyDescent="0.3">
      <c r="A61" s="288">
        <v>48</v>
      </c>
      <c r="B61" s="289"/>
      <c r="C61" s="307" t="s">
        <v>1966</v>
      </c>
      <c r="D61" s="288" t="s">
        <v>26</v>
      </c>
      <c r="E61" s="288">
        <v>9</v>
      </c>
      <c r="F61" s="291"/>
      <c r="G61" s="291">
        <f t="shared" si="2"/>
        <v>0</v>
      </c>
    </row>
    <row r="62" spans="1:7" ht="15.6" x14ac:dyDescent="0.3">
      <c r="A62" s="288">
        <v>49</v>
      </c>
      <c r="B62" s="289"/>
      <c r="C62" s="307" t="s">
        <v>1967</v>
      </c>
      <c r="D62" s="288" t="s">
        <v>26</v>
      </c>
      <c r="E62" s="288">
        <v>1</v>
      </c>
      <c r="F62" s="291"/>
      <c r="G62" s="291">
        <f t="shared" si="2"/>
        <v>0</v>
      </c>
    </row>
    <row r="63" spans="1:7" ht="15.6" x14ac:dyDescent="0.3">
      <c r="A63" s="288">
        <v>50</v>
      </c>
      <c r="B63" s="289"/>
      <c r="C63" s="307" t="s">
        <v>1968</v>
      </c>
      <c r="D63" s="288" t="s">
        <v>26</v>
      </c>
      <c r="E63" s="288">
        <v>1</v>
      </c>
      <c r="F63" s="291"/>
      <c r="G63" s="291">
        <f t="shared" si="2"/>
        <v>0</v>
      </c>
    </row>
    <row r="64" spans="1:7" ht="15.6" x14ac:dyDescent="0.3">
      <c r="A64" s="288">
        <v>51</v>
      </c>
      <c r="B64" s="289"/>
      <c r="C64" s="307" t="s">
        <v>1969</v>
      </c>
      <c r="D64" s="288" t="s">
        <v>26</v>
      </c>
      <c r="E64" s="288">
        <v>1</v>
      </c>
      <c r="F64" s="291"/>
      <c r="G64" s="291">
        <f t="shared" si="2"/>
        <v>0</v>
      </c>
    </row>
    <row r="65" spans="1:7" ht="15.6" x14ac:dyDescent="0.3">
      <c r="A65" s="288">
        <v>52</v>
      </c>
      <c r="B65" s="289"/>
      <c r="C65" s="307" t="s">
        <v>1970</v>
      </c>
      <c r="D65" s="288" t="s">
        <v>26</v>
      </c>
      <c r="E65" s="288">
        <v>1</v>
      </c>
      <c r="F65" s="291"/>
      <c r="G65" s="291">
        <f t="shared" si="2"/>
        <v>0</v>
      </c>
    </row>
    <row r="66" spans="1:7" ht="15.6" x14ac:dyDescent="0.3">
      <c r="A66" s="288">
        <v>53</v>
      </c>
      <c r="B66" s="289"/>
      <c r="C66" s="307" t="s">
        <v>1971</v>
      </c>
      <c r="D66" s="288" t="s">
        <v>26</v>
      </c>
      <c r="E66" s="288">
        <v>1</v>
      </c>
      <c r="F66" s="291"/>
      <c r="G66" s="291">
        <f t="shared" si="2"/>
        <v>0</v>
      </c>
    </row>
    <row r="67" spans="1:7" ht="15.6" x14ac:dyDescent="0.3">
      <c r="A67" s="288">
        <v>54</v>
      </c>
      <c r="B67" s="289"/>
      <c r="C67" s="307" t="s">
        <v>1972</v>
      </c>
      <c r="D67" s="288" t="s">
        <v>26</v>
      </c>
      <c r="E67" s="288">
        <v>1</v>
      </c>
      <c r="F67" s="291"/>
      <c r="G67" s="291">
        <f>E67*F67</f>
        <v>0</v>
      </c>
    </row>
    <row r="68" spans="1:7" ht="15.6" x14ac:dyDescent="0.3">
      <c r="A68" s="288">
        <v>55</v>
      </c>
      <c r="B68" s="289"/>
      <c r="C68" s="307" t="s">
        <v>1973</v>
      </c>
      <c r="D68" s="288" t="s">
        <v>26</v>
      </c>
      <c r="E68" s="288">
        <v>2</v>
      </c>
      <c r="F68" s="291"/>
      <c r="G68" s="291">
        <f>E68*F68</f>
        <v>0</v>
      </c>
    </row>
    <row r="69" spans="1:7" ht="15.6" x14ac:dyDescent="0.3">
      <c r="A69" s="288">
        <v>56</v>
      </c>
      <c r="B69" s="289"/>
      <c r="C69" s="307" t="s">
        <v>1974</v>
      </c>
      <c r="D69" s="288" t="s">
        <v>26</v>
      </c>
      <c r="E69" s="288">
        <v>1</v>
      </c>
      <c r="F69" s="291"/>
      <c r="G69" s="291">
        <f t="shared" ref="G69:G77" si="3">E69*F69</f>
        <v>0</v>
      </c>
    </row>
    <row r="70" spans="1:7" ht="15.6" x14ac:dyDescent="0.3">
      <c r="A70" s="288">
        <v>57</v>
      </c>
      <c r="B70" s="289"/>
      <c r="C70" s="307" t="s">
        <v>1975</v>
      </c>
      <c r="D70" s="288" t="s">
        <v>26</v>
      </c>
      <c r="E70" s="288">
        <v>1</v>
      </c>
      <c r="F70" s="291"/>
      <c r="G70" s="291">
        <f t="shared" si="3"/>
        <v>0</v>
      </c>
    </row>
    <row r="71" spans="1:7" ht="15.6" x14ac:dyDescent="0.3">
      <c r="A71" s="288">
        <v>58</v>
      </c>
      <c r="B71" s="289"/>
      <c r="C71" s="307" t="s">
        <v>1976</v>
      </c>
      <c r="D71" s="288" t="s">
        <v>26</v>
      </c>
      <c r="E71" s="288">
        <v>1</v>
      </c>
      <c r="F71" s="291"/>
      <c r="G71" s="291">
        <f t="shared" si="3"/>
        <v>0</v>
      </c>
    </row>
    <row r="72" spans="1:7" ht="15.6" x14ac:dyDescent="0.3">
      <c r="A72" s="288">
        <v>59</v>
      </c>
      <c r="B72" s="289"/>
      <c r="C72" s="307" t="s">
        <v>1977</v>
      </c>
      <c r="D72" s="288" t="s">
        <v>26</v>
      </c>
      <c r="E72" s="288">
        <v>12</v>
      </c>
      <c r="F72" s="291"/>
      <c r="G72" s="291">
        <f t="shared" si="3"/>
        <v>0</v>
      </c>
    </row>
    <row r="73" spans="1:7" ht="15.6" x14ac:dyDescent="0.3">
      <c r="A73" s="288">
        <v>60</v>
      </c>
      <c r="B73" s="289"/>
      <c r="C73" s="307" t="s">
        <v>1978</v>
      </c>
      <c r="D73" s="288" t="s">
        <v>26</v>
      </c>
      <c r="E73" s="288">
        <v>4</v>
      </c>
      <c r="F73" s="291"/>
      <c r="G73" s="291">
        <f t="shared" si="3"/>
        <v>0</v>
      </c>
    </row>
    <row r="74" spans="1:7" ht="31.2" x14ac:dyDescent="0.3">
      <c r="A74" s="288">
        <v>61</v>
      </c>
      <c r="B74" s="289"/>
      <c r="C74" s="307" t="s">
        <v>1979</v>
      </c>
      <c r="D74" s="288" t="s">
        <v>26</v>
      </c>
      <c r="E74" s="288">
        <v>1</v>
      </c>
      <c r="F74" s="291"/>
      <c r="G74" s="291">
        <f t="shared" si="3"/>
        <v>0</v>
      </c>
    </row>
    <row r="75" spans="1:7" ht="15.6" x14ac:dyDescent="0.3">
      <c r="A75" s="288">
        <v>62</v>
      </c>
      <c r="B75" s="289"/>
      <c r="C75" s="307" t="s">
        <v>1980</v>
      </c>
      <c r="D75" s="288" t="s">
        <v>26</v>
      </c>
      <c r="E75" s="288">
        <v>1</v>
      </c>
      <c r="F75" s="291"/>
      <c r="G75" s="291">
        <f t="shared" si="3"/>
        <v>0</v>
      </c>
    </row>
    <row r="76" spans="1:7" ht="15.6" x14ac:dyDescent="0.3">
      <c r="A76" s="288">
        <v>63</v>
      </c>
      <c r="B76" s="289"/>
      <c r="C76" s="307" t="s">
        <v>1981</v>
      </c>
      <c r="D76" s="288" t="s">
        <v>26</v>
      </c>
      <c r="E76" s="288">
        <v>1</v>
      </c>
      <c r="F76" s="291"/>
      <c r="G76" s="291">
        <f t="shared" si="3"/>
        <v>0</v>
      </c>
    </row>
    <row r="77" spans="1:7" ht="16.2" thickBot="1" x14ac:dyDescent="0.35">
      <c r="A77" s="288">
        <v>64</v>
      </c>
      <c r="B77" s="289"/>
      <c r="C77" s="307" t="s">
        <v>1982</v>
      </c>
      <c r="D77" s="288" t="s">
        <v>26</v>
      </c>
      <c r="E77" s="288">
        <v>1</v>
      </c>
      <c r="F77" s="291"/>
      <c r="G77" s="291">
        <f t="shared" si="3"/>
        <v>0</v>
      </c>
    </row>
    <row r="78" spans="1:7" ht="16.2" thickBot="1" x14ac:dyDescent="0.35">
      <c r="A78" s="313"/>
      <c r="B78" s="314"/>
      <c r="C78" s="295" t="s">
        <v>1983</v>
      </c>
      <c r="D78" s="296"/>
      <c r="E78" s="296"/>
      <c r="F78" s="297"/>
      <c r="G78" s="298">
        <f>SUM(G50:G77)</f>
        <v>0</v>
      </c>
    </row>
    <row r="79" spans="1:7" s="320" customFormat="1" ht="15.6" x14ac:dyDescent="0.3">
      <c r="A79" s="299"/>
      <c r="B79" s="299"/>
      <c r="C79" s="309" t="s">
        <v>1984</v>
      </c>
      <c r="D79" s="318"/>
      <c r="E79" s="299"/>
      <c r="F79" s="299"/>
      <c r="G79" s="319"/>
    </row>
    <row r="80" spans="1:7" s="320" customFormat="1" ht="15.6" x14ac:dyDescent="0.3">
      <c r="A80" s="321">
        <v>65</v>
      </c>
      <c r="B80" s="321"/>
      <c r="C80" s="303" t="s">
        <v>1985</v>
      </c>
      <c r="D80" s="299" t="s">
        <v>140</v>
      </c>
      <c r="E80" s="299">
        <f>SUM(E50:E57)</f>
        <v>178.6</v>
      </c>
      <c r="F80" s="300"/>
      <c r="G80" s="300">
        <f t="shared" ref="G80:G85" si="4">E80*F80</f>
        <v>0</v>
      </c>
    </row>
    <row r="81" spans="1:7" s="320" customFormat="1" ht="15.6" x14ac:dyDescent="0.3">
      <c r="A81" s="321">
        <v>66</v>
      </c>
      <c r="B81" s="321"/>
      <c r="C81" s="303" t="s">
        <v>1986</v>
      </c>
      <c r="D81" s="299" t="s">
        <v>358</v>
      </c>
      <c r="E81" s="299">
        <v>288</v>
      </c>
      <c r="F81" s="300"/>
      <c r="G81" s="300">
        <f t="shared" si="4"/>
        <v>0</v>
      </c>
    </row>
    <row r="82" spans="1:7" s="320" customFormat="1" ht="15.6" x14ac:dyDescent="0.3">
      <c r="A82" s="321">
        <v>67</v>
      </c>
      <c r="B82" s="321"/>
      <c r="C82" s="303" t="s">
        <v>1987</v>
      </c>
      <c r="D82" s="299" t="s">
        <v>308</v>
      </c>
      <c r="E82" s="299">
        <v>1</v>
      </c>
      <c r="F82" s="300"/>
      <c r="G82" s="300">
        <f t="shared" si="4"/>
        <v>0</v>
      </c>
    </row>
    <row r="83" spans="1:7" s="320" customFormat="1" ht="15.75" customHeight="1" x14ac:dyDescent="0.3">
      <c r="A83" s="321">
        <v>68</v>
      </c>
      <c r="B83" s="321"/>
      <c r="C83" s="303" t="s">
        <v>1988</v>
      </c>
      <c r="D83" s="299" t="s">
        <v>26</v>
      </c>
      <c r="E83" s="299">
        <v>1</v>
      </c>
      <c r="F83" s="300"/>
      <c r="G83" s="300">
        <f t="shared" si="4"/>
        <v>0</v>
      </c>
    </row>
    <row r="84" spans="1:7" s="281" customFormat="1" ht="15.6" x14ac:dyDescent="0.3">
      <c r="A84" s="321">
        <v>69</v>
      </c>
      <c r="B84" s="321"/>
      <c r="C84" s="303" t="s">
        <v>1989</v>
      </c>
      <c r="D84" s="299" t="s">
        <v>358</v>
      </c>
      <c r="E84" s="299">
        <v>8</v>
      </c>
      <c r="F84" s="300"/>
      <c r="G84" s="300">
        <f t="shared" si="4"/>
        <v>0</v>
      </c>
    </row>
    <row r="85" spans="1:7" s="281" customFormat="1" ht="16.2" thickBot="1" x14ac:dyDescent="0.35">
      <c r="A85" s="321">
        <v>70</v>
      </c>
      <c r="B85" s="321"/>
      <c r="C85" s="303" t="s">
        <v>1990</v>
      </c>
      <c r="D85" s="299" t="s">
        <v>26</v>
      </c>
      <c r="E85" s="299">
        <v>1</v>
      </c>
      <c r="F85" s="300"/>
      <c r="G85" s="300">
        <f t="shared" si="4"/>
        <v>0</v>
      </c>
    </row>
    <row r="86" spans="1:7" s="281" customFormat="1" ht="16.2" thickBot="1" x14ac:dyDescent="0.35">
      <c r="A86" s="322"/>
      <c r="B86" s="323"/>
      <c r="C86" s="324" t="s">
        <v>1991</v>
      </c>
      <c r="D86" s="325"/>
      <c r="E86" s="323"/>
      <c r="F86" s="296"/>
      <c r="G86" s="298">
        <f>SUM(G80:G85)</f>
        <v>0</v>
      </c>
    </row>
    <row r="87" spans="1:7" s="281" customFormat="1" ht="15.6" x14ac:dyDescent="0.3">
      <c r="A87" s="326"/>
      <c r="B87" s="326"/>
      <c r="C87" s="315"/>
      <c r="D87" s="316"/>
      <c r="E87" s="282"/>
      <c r="F87" s="282"/>
      <c r="G87" s="283"/>
    </row>
    <row r="88" spans="1:7" s="281" customFormat="1" ht="15.6" x14ac:dyDescent="0.3">
      <c r="A88" s="327"/>
      <c r="B88" s="327"/>
      <c r="C88" s="328"/>
      <c r="D88" s="329"/>
      <c r="E88" s="318"/>
      <c r="F88" s="330"/>
      <c r="G88" s="286"/>
    </row>
    <row r="89" spans="1:7" s="281" customFormat="1" ht="15.6" x14ac:dyDescent="0.3">
      <c r="A89" s="302"/>
      <c r="B89" s="302"/>
      <c r="C89" s="317" t="s">
        <v>1992</v>
      </c>
      <c r="D89" s="302"/>
      <c r="E89" s="302"/>
      <c r="F89" s="302"/>
      <c r="G89" s="301">
        <f>G22+G31+G86+G78+G48+G26</f>
        <v>0</v>
      </c>
    </row>
    <row r="90" spans="1:7" s="281" customFormat="1" ht="15.6" x14ac:dyDescent="0.3">
      <c r="A90" s="302"/>
      <c r="B90" s="302"/>
      <c r="C90" s="317" t="s">
        <v>1993</v>
      </c>
      <c r="D90" s="302"/>
      <c r="E90" s="302"/>
      <c r="F90" s="302"/>
      <c r="G90" s="301">
        <f>SUM(G89*0.21)</f>
        <v>0</v>
      </c>
    </row>
    <row r="91" spans="1:7" s="281" customFormat="1" ht="15.6" x14ac:dyDescent="0.3">
      <c r="A91" s="302"/>
      <c r="B91" s="302"/>
      <c r="C91" s="317" t="s">
        <v>1994</v>
      </c>
      <c r="D91" s="302"/>
      <c r="E91" s="302"/>
      <c r="F91" s="302"/>
      <c r="G91" s="301">
        <f>SUM(G89:G90)</f>
        <v>0</v>
      </c>
    </row>
    <row r="92" spans="1:7" s="281" customFormat="1" ht="15.6" x14ac:dyDescent="0.3">
      <c r="A92" s="331"/>
      <c r="B92" s="331"/>
      <c r="C92" s="332"/>
      <c r="E92" s="331"/>
    </row>
    <row r="93" spans="1:7" s="281" customFormat="1" ht="15.6" x14ac:dyDescent="0.3">
      <c r="A93" s="331"/>
      <c r="B93" s="331"/>
      <c r="C93" s="332"/>
      <c r="E93" s="331"/>
    </row>
    <row r="94" spans="1:7" s="281" customFormat="1" ht="15.6" x14ac:dyDescent="0.3">
      <c r="A94" s="331"/>
      <c r="B94" s="331"/>
      <c r="C94" s="332"/>
      <c r="E94" s="331"/>
    </row>
    <row r="95" spans="1:7" s="281" customFormat="1" ht="15.6" x14ac:dyDescent="0.3">
      <c r="A95" s="331"/>
      <c r="B95" s="331"/>
      <c r="C95" s="332"/>
      <c r="E95" s="331"/>
    </row>
    <row r="96" spans="1:7" s="281" customFormat="1" ht="15.6" x14ac:dyDescent="0.3">
      <c r="A96" s="331"/>
      <c r="B96" s="331"/>
      <c r="C96" s="332"/>
      <c r="E96" s="331"/>
    </row>
    <row r="97" spans="1:6" s="281" customFormat="1" ht="15.6" x14ac:dyDescent="0.3">
      <c r="A97" s="331"/>
      <c r="B97" s="331"/>
      <c r="C97" s="332"/>
      <c r="E97" s="331"/>
    </row>
    <row r="98" spans="1:6" s="281" customFormat="1" ht="15.6" x14ac:dyDescent="0.3">
      <c r="A98" s="331"/>
      <c r="B98" s="331"/>
      <c r="C98" s="332"/>
      <c r="E98" s="331"/>
    </row>
    <row r="99" spans="1:6" s="281" customFormat="1" ht="15.6" x14ac:dyDescent="0.3">
      <c r="A99" s="331"/>
      <c r="B99" s="331"/>
      <c r="C99" s="332"/>
      <c r="E99" s="331"/>
    </row>
    <row r="100" spans="1:6" s="281" customFormat="1" ht="15.6" x14ac:dyDescent="0.3">
      <c r="A100" s="331"/>
      <c r="B100" s="331"/>
      <c r="C100" s="332"/>
      <c r="E100" s="331"/>
    </row>
    <row r="101" spans="1:6" s="281" customFormat="1" ht="15.6" x14ac:dyDescent="0.3">
      <c r="A101" s="331"/>
      <c r="B101" s="331"/>
      <c r="C101" s="332"/>
      <c r="E101" s="331"/>
    </row>
    <row r="102" spans="1:6" s="281" customFormat="1" ht="15.6" x14ac:dyDescent="0.3">
      <c r="A102" s="331"/>
      <c r="B102" s="331"/>
      <c r="C102" s="332"/>
      <c r="E102" s="331"/>
    </row>
    <row r="103" spans="1:6" s="281" customFormat="1" ht="15.6" x14ac:dyDescent="0.3">
      <c r="A103" s="331"/>
      <c r="B103" s="331"/>
      <c r="C103" s="332"/>
      <c r="E103" s="331"/>
    </row>
    <row r="104" spans="1:6" s="281" customFormat="1" ht="15.6" x14ac:dyDescent="0.3">
      <c r="A104" s="331"/>
      <c r="B104" s="331"/>
      <c r="C104" s="332"/>
      <c r="E104" s="331"/>
    </row>
    <row r="105" spans="1:6" s="281" customFormat="1" ht="15.6" x14ac:dyDescent="0.3">
      <c r="A105" s="331"/>
      <c r="B105" s="331"/>
      <c r="C105" s="332"/>
      <c r="E105" s="331"/>
    </row>
    <row r="106" spans="1:6" s="281" customFormat="1" ht="15.6" x14ac:dyDescent="0.3">
      <c r="A106" s="331"/>
      <c r="B106" s="331"/>
      <c r="C106" s="332"/>
      <c r="E106" s="331"/>
    </row>
    <row r="107" spans="1:6" s="281" customFormat="1" ht="15.6" x14ac:dyDescent="0.3">
      <c r="A107" s="331"/>
      <c r="B107" s="331"/>
      <c r="C107" s="332"/>
      <c r="E107" s="331"/>
    </row>
    <row r="108" spans="1:6" s="281" customFormat="1" ht="15.6" x14ac:dyDescent="0.3">
      <c r="A108" s="331"/>
      <c r="B108" s="331"/>
      <c r="C108" s="332"/>
      <c r="E108" s="331"/>
    </row>
    <row r="109" spans="1:6" s="281" customFormat="1" ht="15.6" x14ac:dyDescent="0.3">
      <c r="A109" s="331"/>
      <c r="B109" s="331"/>
      <c r="C109" s="332"/>
      <c r="E109" s="331"/>
    </row>
    <row r="110" spans="1:6" s="281" customFormat="1" ht="15.6" x14ac:dyDescent="0.3">
      <c r="A110" s="331"/>
      <c r="B110" s="331"/>
      <c r="C110" s="332"/>
      <c r="E110" s="331"/>
      <c r="F110" s="333"/>
    </row>
    <row r="111" spans="1:6" s="281" customFormat="1" ht="15.6" x14ac:dyDescent="0.3">
      <c r="A111" s="331"/>
      <c r="B111" s="331"/>
      <c r="C111" s="332"/>
      <c r="E111" s="331"/>
      <c r="F111" s="333"/>
    </row>
    <row r="112" spans="1:6" s="281" customFormat="1" ht="15.6" x14ac:dyDescent="0.3">
      <c r="A112" s="331"/>
      <c r="B112" s="331"/>
      <c r="C112" s="332"/>
      <c r="E112" s="331"/>
      <c r="F112" s="333"/>
    </row>
    <row r="113" spans="1:6" s="281" customFormat="1" ht="15.6" x14ac:dyDescent="0.3">
      <c r="A113" s="331"/>
      <c r="B113" s="331"/>
      <c r="C113" s="332"/>
      <c r="E113" s="331"/>
      <c r="F113" s="333"/>
    </row>
    <row r="114" spans="1:6" s="281" customFormat="1" ht="15.6" x14ac:dyDescent="0.3">
      <c r="A114" s="331"/>
      <c r="B114" s="331"/>
      <c r="C114" s="332"/>
      <c r="E114" s="331"/>
      <c r="F114" s="333"/>
    </row>
    <row r="115" spans="1:6" s="281" customFormat="1" ht="15.6" x14ac:dyDescent="0.3">
      <c r="A115" s="331"/>
      <c r="B115" s="331"/>
      <c r="C115" s="332"/>
      <c r="E115" s="331"/>
      <c r="F115" s="333"/>
    </row>
    <row r="116" spans="1:6" s="281" customFormat="1" ht="15.6" x14ac:dyDescent="0.3">
      <c r="A116" s="331"/>
      <c r="B116" s="331"/>
      <c r="C116" s="332"/>
      <c r="E116" s="331"/>
      <c r="F116" s="333"/>
    </row>
    <row r="117" spans="1:6" s="281" customFormat="1" ht="15.6" x14ac:dyDescent="0.3">
      <c r="A117" s="331"/>
      <c r="B117" s="331"/>
      <c r="C117" s="332"/>
      <c r="E117" s="331"/>
      <c r="F117" s="333"/>
    </row>
    <row r="118" spans="1:6" s="281" customFormat="1" ht="15.6" x14ac:dyDescent="0.3">
      <c r="A118" s="331"/>
      <c r="B118" s="331"/>
      <c r="C118" s="332"/>
      <c r="E118" s="331"/>
      <c r="F118" s="333"/>
    </row>
    <row r="119" spans="1:6" s="281" customFormat="1" ht="15.6" x14ac:dyDescent="0.3">
      <c r="A119" s="331"/>
      <c r="B119" s="331"/>
      <c r="C119" s="332"/>
      <c r="E119" s="331"/>
      <c r="F119" s="333"/>
    </row>
    <row r="120" spans="1:6" s="281" customFormat="1" ht="15.6" x14ac:dyDescent="0.3">
      <c r="A120" s="331"/>
      <c r="B120" s="331"/>
      <c r="C120" s="332"/>
      <c r="E120" s="331"/>
      <c r="F120" s="333"/>
    </row>
    <row r="121" spans="1:6" s="281" customFormat="1" ht="15.6" x14ac:dyDescent="0.3">
      <c r="A121" s="331"/>
      <c r="B121" s="331"/>
      <c r="C121" s="332"/>
      <c r="E121" s="331"/>
      <c r="F121" s="333"/>
    </row>
    <row r="122" spans="1:6" s="281" customFormat="1" ht="15.6" x14ac:dyDescent="0.3">
      <c r="A122" s="331"/>
      <c r="B122" s="331"/>
      <c r="C122" s="332"/>
      <c r="E122" s="331"/>
      <c r="F122" s="333"/>
    </row>
    <row r="123" spans="1:6" s="281" customFormat="1" ht="15.6" x14ac:dyDescent="0.3">
      <c r="A123" s="331"/>
      <c r="B123" s="331"/>
      <c r="C123" s="332"/>
      <c r="E123" s="331"/>
      <c r="F123" s="331"/>
    </row>
    <row r="124" spans="1:6" s="281" customFormat="1" ht="15.6" x14ac:dyDescent="0.3">
      <c r="C124" s="332"/>
    </row>
    <row r="125" spans="1:6" s="281" customFormat="1" ht="15.6" x14ac:dyDescent="0.3">
      <c r="A125" s="331"/>
      <c r="B125" s="331"/>
      <c r="C125" s="332"/>
      <c r="E125" s="331"/>
      <c r="F125" s="331"/>
    </row>
    <row r="126" spans="1:6" s="281" customFormat="1" ht="15.6" x14ac:dyDescent="0.3">
      <c r="C126" s="332"/>
    </row>
    <row r="127" spans="1:6" s="281" customFormat="1" ht="15.6" x14ac:dyDescent="0.3">
      <c r="C127" s="332"/>
    </row>
    <row r="128" spans="1:6" s="281" customFormat="1" ht="15.6" x14ac:dyDescent="0.3">
      <c r="C128" s="332"/>
    </row>
    <row r="129" spans="3:3" s="281" customFormat="1" ht="15.6" x14ac:dyDescent="0.3">
      <c r="C129" s="332"/>
    </row>
    <row r="130" spans="3:3" s="281" customFormat="1" ht="15.6" x14ac:dyDescent="0.3">
      <c r="C130" s="332"/>
    </row>
    <row r="131" spans="3:3" s="281" customFormat="1" ht="15.6" x14ac:dyDescent="0.3">
      <c r="C131" s="332"/>
    </row>
    <row r="132" spans="3:3" s="281" customFormat="1" ht="15.6" x14ac:dyDescent="0.3">
      <c r="C132" s="332"/>
    </row>
    <row r="133" spans="3:3" s="281" customFormat="1" ht="15.6" x14ac:dyDescent="0.3">
      <c r="C133" s="332"/>
    </row>
    <row r="134" spans="3:3" s="281" customFormat="1" ht="15.6" x14ac:dyDescent="0.3">
      <c r="C134" s="332"/>
    </row>
    <row r="135" spans="3:3" s="281" customFormat="1" ht="15.6" x14ac:dyDescent="0.3">
      <c r="C135" s="332"/>
    </row>
    <row r="136" spans="3:3" s="281" customFormat="1" ht="15.6" x14ac:dyDescent="0.3">
      <c r="C136" s="332"/>
    </row>
    <row r="137" spans="3:3" s="281" customFormat="1" ht="15.6" x14ac:dyDescent="0.3">
      <c r="C137" s="332"/>
    </row>
    <row r="138" spans="3:3" s="281" customFormat="1" ht="15.6" x14ac:dyDescent="0.3">
      <c r="C138" s="332"/>
    </row>
    <row r="139" spans="3:3" s="281" customFormat="1" ht="15.6" x14ac:dyDescent="0.3">
      <c r="C139" s="332"/>
    </row>
    <row r="140" spans="3:3" s="281" customFormat="1" ht="15.6" x14ac:dyDescent="0.3">
      <c r="C140" s="332"/>
    </row>
    <row r="141" spans="3:3" s="281" customFormat="1" ht="13.5" customHeight="1" x14ac:dyDescent="0.3">
      <c r="C141" s="332"/>
    </row>
    <row r="142" spans="3:3" s="281" customFormat="1" ht="15.6" x14ac:dyDescent="0.3">
      <c r="C142" s="332"/>
    </row>
    <row r="143" spans="3:3" s="281" customFormat="1" ht="15.6" x14ac:dyDescent="0.3">
      <c r="C143" s="332"/>
    </row>
    <row r="144" spans="3:3" s="281" customFormat="1" ht="15.6" x14ac:dyDescent="0.3">
      <c r="C144" s="332"/>
    </row>
    <row r="145" spans="3:3" s="281" customFormat="1" ht="15.6" x14ac:dyDescent="0.3">
      <c r="C145" s="332"/>
    </row>
    <row r="146" spans="3:3" s="281" customFormat="1" ht="15.6" x14ac:dyDescent="0.3">
      <c r="C146" s="332"/>
    </row>
    <row r="147" spans="3:3" s="281" customFormat="1" ht="15.6" x14ac:dyDescent="0.3">
      <c r="C147" s="332"/>
    </row>
    <row r="148" spans="3:3" s="281" customFormat="1" ht="15.6" x14ac:dyDescent="0.3">
      <c r="C148" s="332"/>
    </row>
    <row r="149" spans="3:3" s="281" customFormat="1" ht="15.6" x14ac:dyDescent="0.3">
      <c r="C149" s="332"/>
    </row>
    <row r="150" spans="3:3" s="281" customFormat="1" ht="14.25" customHeight="1" x14ac:dyDescent="0.3">
      <c r="C150" s="332"/>
    </row>
    <row r="151" spans="3:3" s="281" customFormat="1" ht="14.25" customHeight="1" x14ac:dyDescent="0.3">
      <c r="C151" s="332"/>
    </row>
    <row r="152" spans="3:3" s="281" customFormat="1" ht="18.75" customHeight="1" x14ac:dyDescent="0.3">
      <c r="C152" s="332"/>
    </row>
    <row r="153" spans="3:3" s="281" customFormat="1" ht="18" customHeight="1" x14ac:dyDescent="0.3">
      <c r="C153" s="332"/>
    </row>
    <row r="154" spans="3:3" s="281" customFormat="1" ht="19.5" customHeight="1" x14ac:dyDescent="0.3">
      <c r="C154" s="332"/>
    </row>
    <row r="155" spans="3:3" s="281" customFormat="1" ht="15.6" x14ac:dyDescent="0.3">
      <c r="C155" s="332"/>
    </row>
    <row r="156" spans="3:3" s="281" customFormat="1" ht="15.6" x14ac:dyDescent="0.3">
      <c r="C156" s="332"/>
    </row>
    <row r="157" spans="3:3" s="281" customFormat="1" ht="15.6" x14ac:dyDescent="0.3">
      <c r="C157" s="332"/>
    </row>
    <row r="158" spans="3:3" s="281" customFormat="1" ht="15.6" x14ac:dyDescent="0.3">
      <c r="C158" s="332"/>
    </row>
    <row r="159" spans="3:3" s="281" customFormat="1" ht="15.6" x14ac:dyDescent="0.3">
      <c r="C159" s="332"/>
    </row>
    <row r="160" spans="3:3" s="281" customFormat="1" ht="15.6" x14ac:dyDescent="0.3">
      <c r="C160" s="332"/>
    </row>
    <row r="161" spans="1:7" s="281" customFormat="1" ht="15.6" x14ac:dyDescent="0.3">
      <c r="C161" s="332"/>
    </row>
    <row r="162" spans="1:7" s="281" customFormat="1" ht="15.6" x14ac:dyDescent="0.3">
      <c r="C162" s="332"/>
    </row>
    <row r="163" spans="1:7" s="281" customFormat="1" ht="15.6" x14ac:dyDescent="0.3">
      <c r="C163" s="332"/>
    </row>
    <row r="164" spans="1:7" s="281" customFormat="1" ht="15.6" x14ac:dyDescent="0.3">
      <c r="C164" s="332"/>
    </row>
    <row r="165" spans="1:7" s="281" customFormat="1" ht="15.6" x14ac:dyDescent="0.3">
      <c r="A165" s="331"/>
      <c r="B165" s="331"/>
      <c r="C165" s="332"/>
      <c r="G165" s="334"/>
    </row>
  </sheetData>
  <pageMargins left="0.47244094488188981" right="0.47244094488188981" top="0.59055118110236227" bottom="0.59055118110236227" header="0.31496062992125984" footer="0.31496062992125984"/>
  <pageSetup paperSize="9" scale="98" fitToHeight="100" orientation="portrait" r:id="rId1"/>
  <headerFooter>
    <oddFoote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H188"/>
  <sheetViews>
    <sheetView topLeftCell="A61" workbookViewId="0">
      <selection activeCell="F8" sqref="F8:F68"/>
    </sheetView>
  </sheetViews>
  <sheetFormatPr defaultColWidth="9.109375" defaultRowHeight="15.6" x14ac:dyDescent="0.3"/>
  <cols>
    <col min="1" max="1" width="6" style="395" customWidth="1"/>
    <col min="2" max="2" width="4.44140625" style="395" customWidth="1"/>
    <col min="3" max="3" width="52.88671875" style="281" customWidth="1"/>
    <col min="4" max="4" width="4.6640625" style="395" customWidth="1"/>
    <col min="5" max="5" width="4.44140625" style="395" customWidth="1"/>
    <col min="6" max="6" width="10.88671875" style="396" customWidth="1"/>
    <col min="7" max="7" width="13.5546875" style="396" customWidth="1"/>
    <col min="8" max="8" width="14.44140625" style="281" customWidth="1"/>
    <col min="9" max="16384" width="9.109375" style="281"/>
  </cols>
  <sheetData>
    <row r="1" spans="1:8" s="268" customFormat="1" ht="13.8" x14ac:dyDescent="0.3">
      <c r="A1" s="265"/>
      <c r="B1" s="266"/>
      <c r="C1" s="266"/>
      <c r="D1" s="266"/>
      <c r="E1" s="266"/>
      <c r="F1" s="266"/>
      <c r="G1" s="267"/>
    </row>
    <row r="2" spans="1:8" s="268" customFormat="1" ht="17.25" customHeight="1" x14ac:dyDescent="0.35">
      <c r="A2" s="269" t="s">
        <v>2443</v>
      </c>
      <c r="B2" s="270"/>
      <c r="C2" s="271"/>
      <c r="D2" s="271"/>
      <c r="E2" s="271"/>
      <c r="F2" s="271"/>
      <c r="G2" s="272"/>
    </row>
    <row r="3" spans="1:8" s="268" customFormat="1" ht="14.4" thickBot="1" x14ac:dyDescent="0.35">
      <c r="A3" s="336"/>
      <c r="B3" s="271"/>
      <c r="C3" s="271"/>
      <c r="D3" s="337"/>
      <c r="E3" s="337"/>
      <c r="F3" s="271"/>
      <c r="G3" s="272"/>
    </row>
    <row r="4" spans="1:8" ht="39.75" customHeight="1" thickBot="1" x14ac:dyDescent="0.35">
      <c r="A4" s="277" t="s">
        <v>1873</v>
      </c>
      <c r="B4" s="278"/>
      <c r="C4" s="279" t="s">
        <v>1874</v>
      </c>
      <c r="D4" s="278" t="s">
        <v>850</v>
      </c>
      <c r="E4" s="278" t="s">
        <v>1875</v>
      </c>
      <c r="F4" s="278" t="s">
        <v>1876</v>
      </c>
      <c r="G4" s="280" t="s">
        <v>1728</v>
      </c>
    </row>
    <row r="5" spans="1:8" x14ac:dyDescent="0.3">
      <c r="A5" s="338"/>
      <c r="B5" s="338"/>
      <c r="C5" s="339" t="s">
        <v>1995</v>
      </c>
      <c r="D5" s="340"/>
      <c r="E5" s="341"/>
      <c r="F5" s="342"/>
      <c r="G5" s="343"/>
      <c r="H5" s="344"/>
    </row>
    <row r="6" spans="1:8" x14ac:dyDescent="0.3">
      <c r="A6" s="288"/>
      <c r="B6" s="288"/>
      <c r="C6" s="349" t="s">
        <v>1996</v>
      </c>
      <c r="D6" s="345"/>
      <c r="E6" s="346"/>
      <c r="F6" s="347"/>
      <c r="G6" s="348"/>
      <c r="H6" s="344"/>
    </row>
    <row r="7" spans="1:8" x14ac:dyDescent="0.3">
      <c r="A7" s="288"/>
      <c r="B7" s="288"/>
      <c r="C7" s="349" t="s">
        <v>1997</v>
      </c>
      <c r="D7" s="350" t="s">
        <v>725</v>
      </c>
      <c r="E7" s="350"/>
      <c r="F7" s="351"/>
      <c r="G7" s="352"/>
      <c r="H7" s="344"/>
    </row>
    <row r="8" spans="1:8" x14ac:dyDescent="0.3">
      <c r="A8" s="288">
        <v>1</v>
      </c>
      <c r="B8" s="288"/>
      <c r="C8" s="353" t="s">
        <v>1998</v>
      </c>
      <c r="D8" s="350" t="s">
        <v>26</v>
      </c>
      <c r="E8" s="350">
        <v>1</v>
      </c>
      <c r="F8" s="351"/>
      <c r="G8" s="352">
        <f t="shared" ref="G8:G60" si="0">F8*E8</f>
        <v>0</v>
      </c>
      <c r="H8" s="344"/>
    </row>
    <row r="9" spans="1:8" x14ac:dyDescent="0.3">
      <c r="A9" s="288">
        <v>2</v>
      </c>
      <c r="B9" s="288"/>
      <c r="C9" s="353" t="s">
        <v>1999</v>
      </c>
      <c r="D9" s="350" t="s">
        <v>26</v>
      </c>
      <c r="E9" s="350">
        <v>12</v>
      </c>
      <c r="F9" s="351"/>
      <c r="G9" s="352">
        <f t="shared" si="0"/>
        <v>0</v>
      </c>
      <c r="H9" s="344"/>
    </row>
    <row r="10" spans="1:8" x14ac:dyDescent="0.3">
      <c r="A10" s="288">
        <v>3</v>
      </c>
      <c r="B10" s="288"/>
      <c r="C10" s="353" t="s">
        <v>2000</v>
      </c>
      <c r="D10" s="350" t="s">
        <v>26</v>
      </c>
      <c r="E10" s="350">
        <v>1</v>
      </c>
      <c r="F10" s="351"/>
      <c r="G10" s="352">
        <f t="shared" si="0"/>
        <v>0</v>
      </c>
      <c r="H10" s="344"/>
    </row>
    <row r="11" spans="1:8" ht="15.75" customHeight="1" x14ac:dyDescent="0.3">
      <c r="A11" s="288">
        <v>4</v>
      </c>
      <c r="B11" s="288"/>
      <c r="C11" s="354" t="s">
        <v>2001</v>
      </c>
      <c r="D11" s="350" t="s">
        <v>26</v>
      </c>
      <c r="E11" s="350">
        <v>1</v>
      </c>
      <c r="F11" s="351"/>
      <c r="G11" s="352">
        <f t="shared" si="0"/>
        <v>0</v>
      </c>
      <c r="H11" s="344"/>
    </row>
    <row r="12" spans="1:8" x14ac:dyDescent="0.3">
      <c r="A12" s="288"/>
      <c r="B12" s="288"/>
      <c r="C12" s="349" t="s">
        <v>2002</v>
      </c>
      <c r="D12" s="350" t="s">
        <v>725</v>
      </c>
      <c r="E12" s="350"/>
      <c r="F12" s="351"/>
      <c r="G12" s="352"/>
      <c r="H12" s="344"/>
    </row>
    <row r="13" spans="1:8" x14ac:dyDescent="0.3">
      <c r="A13" s="288">
        <v>5</v>
      </c>
      <c r="B13" s="288"/>
      <c r="C13" s="353" t="s">
        <v>2003</v>
      </c>
      <c r="D13" s="350" t="s">
        <v>140</v>
      </c>
      <c r="E13" s="350">
        <v>100</v>
      </c>
      <c r="F13" s="351"/>
      <c r="G13" s="352">
        <f t="shared" si="0"/>
        <v>0</v>
      </c>
      <c r="H13" s="344"/>
    </row>
    <row r="14" spans="1:8" x14ac:dyDescent="0.3">
      <c r="A14" s="288">
        <v>6</v>
      </c>
      <c r="B14" s="288"/>
      <c r="C14" s="354" t="s">
        <v>2004</v>
      </c>
      <c r="D14" s="350" t="s">
        <v>140</v>
      </c>
      <c r="E14" s="350">
        <v>16</v>
      </c>
      <c r="F14" s="351"/>
      <c r="G14" s="352">
        <f t="shared" si="0"/>
        <v>0</v>
      </c>
      <c r="H14" s="344"/>
    </row>
    <row r="15" spans="1:8" x14ac:dyDescent="0.3">
      <c r="A15" s="288"/>
      <c r="B15" s="288"/>
      <c r="C15" s="349" t="s">
        <v>2005</v>
      </c>
      <c r="D15" s="350" t="s">
        <v>725</v>
      </c>
      <c r="E15" s="350"/>
      <c r="F15" s="351"/>
      <c r="G15" s="352"/>
      <c r="H15" s="344"/>
    </row>
    <row r="16" spans="1:8" ht="31.2" x14ac:dyDescent="0.3">
      <c r="A16" s="288">
        <v>7</v>
      </c>
      <c r="B16" s="288"/>
      <c r="C16" s="354" t="s">
        <v>2006</v>
      </c>
      <c r="D16" s="350" t="s">
        <v>26</v>
      </c>
      <c r="E16" s="350">
        <v>10</v>
      </c>
      <c r="F16" s="351"/>
      <c r="G16" s="352">
        <f t="shared" si="0"/>
        <v>0</v>
      </c>
      <c r="H16" s="344"/>
    </row>
    <row r="17" spans="1:8" x14ac:dyDescent="0.3">
      <c r="A17" s="288">
        <v>8</v>
      </c>
      <c r="B17" s="288"/>
      <c r="C17" s="353" t="s">
        <v>2007</v>
      </c>
      <c r="D17" s="350" t="s">
        <v>26</v>
      </c>
      <c r="E17" s="350">
        <v>4</v>
      </c>
      <c r="F17" s="351"/>
      <c r="G17" s="352">
        <f t="shared" si="0"/>
        <v>0</v>
      </c>
      <c r="H17" s="344"/>
    </row>
    <row r="18" spans="1:8" x14ac:dyDescent="0.3">
      <c r="A18" s="288">
        <v>9</v>
      </c>
      <c r="B18" s="288"/>
      <c r="C18" s="353" t="s">
        <v>2008</v>
      </c>
      <c r="D18" s="350" t="s">
        <v>2009</v>
      </c>
      <c r="E18" s="350">
        <v>1</v>
      </c>
      <c r="F18" s="351"/>
      <c r="G18" s="352">
        <f t="shared" si="0"/>
        <v>0</v>
      </c>
      <c r="H18" s="344"/>
    </row>
    <row r="19" spans="1:8" x14ac:dyDescent="0.3">
      <c r="A19" s="288">
        <v>10</v>
      </c>
      <c r="B19" s="288"/>
      <c r="C19" s="353" t="s">
        <v>2010</v>
      </c>
      <c r="D19" s="350" t="s">
        <v>26</v>
      </c>
      <c r="E19" s="350">
        <v>3</v>
      </c>
      <c r="F19" s="351"/>
      <c r="G19" s="352">
        <f t="shared" si="0"/>
        <v>0</v>
      </c>
      <c r="H19" s="344"/>
    </row>
    <row r="20" spans="1:8" x14ac:dyDescent="0.3">
      <c r="A20" s="288">
        <v>11</v>
      </c>
      <c r="B20" s="288"/>
      <c r="C20" s="355" t="s">
        <v>2011</v>
      </c>
      <c r="D20" s="350" t="s">
        <v>26</v>
      </c>
      <c r="E20" s="350">
        <v>1</v>
      </c>
      <c r="F20" s="351"/>
      <c r="G20" s="352">
        <f t="shared" si="0"/>
        <v>0</v>
      </c>
      <c r="H20" s="344"/>
    </row>
    <row r="21" spans="1:8" ht="15.75" customHeight="1" x14ac:dyDescent="0.3">
      <c r="A21" s="288">
        <v>12</v>
      </c>
      <c r="B21" s="288"/>
      <c r="C21" s="353" t="s">
        <v>2012</v>
      </c>
      <c r="D21" s="350" t="s">
        <v>2009</v>
      </c>
      <c r="E21" s="350">
        <v>1</v>
      </c>
      <c r="F21" s="351"/>
      <c r="G21" s="352">
        <f t="shared" si="0"/>
        <v>0</v>
      </c>
      <c r="H21" s="344"/>
    </row>
    <row r="22" spans="1:8" x14ac:dyDescent="0.3">
      <c r="A22" s="288">
        <v>13</v>
      </c>
      <c r="B22" s="288"/>
      <c r="C22" s="354" t="s">
        <v>2013</v>
      </c>
      <c r="D22" s="350" t="s">
        <v>2009</v>
      </c>
      <c r="E22" s="350">
        <v>3</v>
      </c>
      <c r="F22" s="351"/>
      <c r="G22" s="352">
        <f t="shared" si="0"/>
        <v>0</v>
      </c>
      <c r="H22" s="344"/>
    </row>
    <row r="23" spans="1:8" x14ac:dyDescent="0.3">
      <c r="A23" s="288">
        <v>14</v>
      </c>
      <c r="B23" s="288"/>
      <c r="C23" s="353" t="s">
        <v>2014</v>
      </c>
      <c r="D23" s="350" t="s">
        <v>26</v>
      </c>
      <c r="E23" s="350">
        <v>1</v>
      </c>
      <c r="F23" s="351"/>
      <c r="G23" s="352">
        <f t="shared" si="0"/>
        <v>0</v>
      </c>
      <c r="H23" s="344"/>
    </row>
    <row r="24" spans="1:8" x14ac:dyDescent="0.3">
      <c r="A24" s="288">
        <v>15</v>
      </c>
      <c r="B24" s="288"/>
      <c r="C24" s="354" t="s">
        <v>2015</v>
      </c>
      <c r="D24" s="350" t="s">
        <v>26</v>
      </c>
      <c r="E24" s="350">
        <v>3</v>
      </c>
      <c r="F24" s="351"/>
      <c r="G24" s="352">
        <f t="shared" si="0"/>
        <v>0</v>
      </c>
      <c r="H24" s="344"/>
    </row>
    <row r="25" spans="1:8" x14ac:dyDescent="0.3">
      <c r="A25" s="288">
        <v>16</v>
      </c>
      <c r="B25" s="288"/>
      <c r="C25" s="354" t="s">
        <v>2016</v>
      </c>
      <c r="D25" s="350" t="s">
        <v>26</v>
      </c>
      <c r="E25" s="350">
        <v>1</v>
      </c>
      <c r="F25" s="351"/>
      <c r="G25" s="352">
        <f t="shared" si="0"/>
        <v>0</v>
      </c>
      <c r="H25" s="344"/>
    </row>
    <row r="26" spans="1:8" x14ac:dyDescent="0.3">
      <c r="A26" s="288">
        <v>17</v>
      </c>
      <c r="B26" s="288"/>
      <c r="C26" s="353" t="s">
        <v>2017</v>
      </c>
      <c r="D26" s="350" t="s">
        <v>26</v>
      </c>
      <c r="E26" s="350">
        <v>1</v>
      </c>
      <c r="F26" s="351"/>
      <c r="G26" s="352">
        <f t="shared" si="0"/>
        <v>0</v>
      </c>
      <c r="H26" s="344"/>
    </row>
    <row r="27" spans="1:8" x14ac:dyDescent="0.3">
      <c r="A27" s="288"/>
      <c r="B27" s="288"/>
      <c r="C27" s="349" t="s">
        <v>2018</v>
      </c>
      <c r="D27" s="350" t="s">
        <v>725</v>
      </c>
      <c r="E27" s="350"/>
      <c r="F27" s="351"/>
      <c r="G27" s="352"/>
      <c r="H27" s="344"/>
    </row>
    <row r="28" spans="1:8" ht="46.8" x14ac:dyDescent="0.3">
      <c r="A28" s="288">
        <v>18</v>
      </c>
      <c r="B28" s="288"/>
      <c r="C28" s="353" t="s">
        <v>2019</v>
      </c>
      <c r="D28" s="350" t="s">
        <v>26</v>
      </c>
      <c r="E28" s="350">
        <v>4</v>
      </c>
      <c r="F28" s="351"/>
      <c r="G28" s="352">
        <f t="shared" si="0"/>
        <v>0</v>
      </c>
      <c r="H28" s="344"/>
    </row>
    <row r="29" spans="1:8" x14ac:dyDescent="0.3">
      <c r="A29" s="288">
        <v>19</v>
      </c>
      <c r="B29" s="288"/>
      <c r="C29" s="354" t="s">
        <v>2020</v>
      </c>
      <c r="D29" s="350" t="s">
        <v>26</v>
      </c>
      <c r="E29" s="350">
        <v>1</v>
      </c>
      <c r="F29" s="351"/>
      <c r="G29" s="352">
        <f t="shared" si="0"/>
        <v>0</v>
      </c>
      <c r="H29" s="344"/>
    </row>
    <row r="30" spans="1:8" x14ac:dyDescent="0.3">
      <c r="A30" s="288"/>
      <c r="B30" s="288"/>
      <c r="C30" s="349" t="s">
        <v>2021</v>
      </c>
      <c r="D30" s="350" t="s">
        <v>725</v>
      </c>
      <c r="E30" s="350"/>
      <c r="F30" s="351"/>
      <c r="G30" s="352">
        <f t="shared" si="0"/>
        <v>0</v>
      </c>
      <c r="H30" s="344"/>
    </row>
    <row r="31" spans="1:8" x14ac:dyDescent="0.3">
      <c r="A31" s="288">
        <v>20</v>
      </c>
      <c r="B31" s="288"/>
      <c r="C31" s="354" t="s">
        <v>2022</v>
      </c>
      <c r="D31" s="350" t="s">
        <v>26</v>
      </c>
      <c r="E31" s="350">
        <v>30</v>
      </c>
      <c r="F31" s="351"/>
      <c r="G31" s="352">
        <f t="shared" si="0"/>
        <v>0</v>
      </c>
      <c r="H31" s="344"/>
    </row>
    <row r="32" spans="1:8" x14ac:dyDescent="0.3">
      <c r="A32" s="288">
        <v>21</v>
      </c>
      <c r="B32" s="288"/>
      <c r="C32" s="353" t="s">
        <v>2023</v>
      </c>
      <c r="D32" s="350" t="s">
        <v>26</v>
      </c>
      <c r="E32" s="350">
        <v>20</v>
      </c>
      <c r="F32" s="351"/>
      <c r="G32" s="352">
        <f t="shared" si="0"/>
        <v>0</v>
      </c>
      <c r="H32" s="344"/>
    </row>
    <row r="33" spans="1:8" x14ac:dyDescent="0.3">
      <c r="A33" s="288"/>
      <c r="B33" s="288"/>
      <c r="C33" s="349" t="s">
        <v>2024</v>
      </c>
      <c r="D33" s="350" t="s">
        <v>725</v>
      </c>
      <c r="E33" s="350"/>
      <c r="F33" s="351"/>
      <c r="G33" s="352">
        <f t="shared" si="0"/>
        <v>0</v>
      </c>
      <c r="H33" s="344"/>
    </row>
    <row r="34" spans="1:8" x14ac:dyDescent="0.3">
      <c r="A34" s="288">
        <v>22</v>
      </c>
      <c r="B34" s="288"/>
      <c r="C34" s="353" t="s">
        <v>2025</v>
      </c>
      <c r="D34" s="350" t="s">
        <v>140</v>
      </c>
      <c r="E34" s="350">
        <v>25</v>
      </c>
      <c r="F34" s="351"/>
      <c r="G34" s="352">
        <f t="shared" si="0"/>
        <v>0</v>
      </c>
      <c r="H34" s="344"/>
    </row>
    <row r="35" spans="1:8" x14ac:dyDescent="0.3">
      <c r="A35" s="288"/>
      <c r="B35" s="288"/>
      <c r="C35" s="349" t="s">
        <v>2026</v>
      </c>
      <c r="D35" s="350" t="s">
        <v>725</v>
      </c>
      <c r="E35" s="350"/>
      <c r="F35" s="351"/>
      <c r="G35" s="352">
        <f t="shared" si="0"/>
        <v>0</v>
      </c>
      <c r="H35" s="344"/>
    </row>
    <row r="36" spans="1:8" x14ac:dyDescent="0.3">
      <c r="A36" s="288">
        <v>23</v>
      </c>
      <c r="B36" s="288"/>
      <c r="C36" s="354" t="s">
        <v>2027</v>
      </c>
      <c r="D36" s="350" t="s">
        <v>140</v>
      </c>
      <c r="E36" s="350">
        <v>55</v>
      </c>
      <c r="F36" s="351"/>
      <c r="G36" s="352">
        <f t="shared" si="0"/>
        <v>0</v>
      </c>
      <c r="H36" s="344"/>
    </row>
    <row r="37" spans="1:8" x14ac:dyDescent="0.3">
      <c r="A37" s="288">
        <v>24</v>
      </c>
      <c r="B37" s="288"/>
      <c r="C37" s="353" t="s">
        <v>2028</v>
      </c>
      <c r="D37" s="350" t="s">
        <v>140</v>
      </c>
      <c r="E37" s="350">
        <v>25</v>
      </c>
      <c r="F37" s="351"/>
      <c r="G37" s="352">
        <f t="shared" si="0"/>
        <v>0</v>
      </c>
      <c r="H37" s="344"/>
    </row>
    <row r="38" spans="1:8" x14ac:dyDescent="0.3">
      <c r="A38" s="288">
        <v>25</v>
      </c>
      <c r="B38" s="288"/>
      <c r="C38" s="354" t="s">
        <v>2029</v>
      </c>
      <c r="D38" s="350" t="s">
        <v>140</v>
      </c>
      <c r="E38" s="350">
        <v>15</v>
      </c>
      <c r="F38" s="351"/>
      <c r="G38" s="352">
        <f t="shared" si="0"/>
        <v>0</v>
      </c>
      <c r="H38" s="344"/>
    </row>
    <row r="39" spans="1:8" x14ac:dyDescent="0.3">
      <c r="A39" s="288"/>
      <c r="B39" s="288"/>
      <c r="C39" s="349" t="s">
        <v>2030</v>
      </c>
      <c r="D39" s="350" t="s">
        <v>725</v>
      </c>
      <c r="E39" s="350"/>
      <c r="F39" s="351"/>
      <c r="G39" s="352">
        <f t="shared" si="0"/>
        <v>0</v>
      </c>
      <c r="H39" s="344"/>
    </row>
    <row r="40" spans="1:8" x14ac:dyDescent="0.3">
      <c r="A40" s="288">
        <v>26</v>
      </c>
      <c r="B40" s="288"/>
      <c r="C40" s="353" t="s">
        <v>2031</v>
      </c>
      <c r="D40" s="350" t="s">
        <v>140</v>
      </c>
      <c r="E40" s="350">
        <v>40</v>
      </c>
      <c r="F40" s="351"/>
      <c r="G40" s="352">
        <f t="shared" si="0"/>
        <v>0</v>
      </c>
      <c r="H40" s="344"/>
    </row>
    <row r="41" spans="1:8" x14ac:dyDescent="0.3">
      <c r="A41" s="288"/>
      <c r="B41" s="288"/>
      <c r="C41" s="349" t="s">
        <v>2032</v>
      </c>
      <c r="D41" s="350" t="s">
        <v>725</v>
      </c>
      <c r="E41" s="350"/>
      <c r="F41" s="351"/>
      <c r="G41" s="352">
        <f t="shared" si="0"/>
        <v>0</v>
      </c>
      <c r="H41" s="344"/>
    </row>
    <row r="42" spans="1:8" x14ac:dyDescent="0.3">
      <c r="A42" s="288">
        <v>27</v>
      </c>
      <c r="B42" s="288"/>
      <c r="C42" s="353" t="s">
        <v>2033</v>
      </c>
      <c r="D42" s="350" t="s">
        <v>26</v>
      </c>
      <c r="E42" s="350">
        <v>1</v>
      </c>
      <c r="F42" s="351"/>
      <c r="G42" s="352">
        <f t="shared" si="0"/>
        <v>0</v>
      </c>
      <c r="H42" s="344"/>
    </row>
    <row r="43" spans="1:8" x14ac:dyDescent="0.3">
      <c r="A43" s="288"/>
      <c r="B43" s="288"/>
      <c r="C43" s="349" t="s">
        <v>2034</v>
      </c>
      <c r="D43" s="350" t="s">
        <v>725</v>
      </c>
      <c r="E43" s="350"/>
      <c r="F43" s="351"/>
      <c r="G43" s="352">
        <f t="shared" si="0"/>
        <v>0</v>
      </c>
      <c r="H43" s="344"/>
    </row>
    <row r="44" spans="1:8" ht="31.2" x14ac:dyDescent="0.3">
      <c r="A44" s="288">
        <v>28</v>
      </c>
      <c r="B44" s="288"/>
      <c r="C44" s="353" t="s">
        <v>2035</v>
      </c>
      <c r="D44" s="350" t="s">
        <v>26</v>
      </c>
      <c r="E44" s="350">
        <v>4</v>
      </c>
      <c r="F44" s="351"/>
      <c r="G44" s="352">
        <f t="shared" si="0"/>
        <v>0</v>
      </c>
      <c r="H44" s="344"/>
    </row>
    <row r="45" spans="1:8" ht="31.2" x14ac:dyDescent="0.3">
      <c r="A45" s="288">
        <v>29</v>
      </c>
      <c r="B45" s="288"/>
      <c r="C45" s="353" t="s">
        <v>2036</v>
      </c>
      <c r="D45" s="350" t="s">
        <v>26</v>
      </c>
      <c r="E45" s="350">
        <v>1</v>
      </c>
      <c r="F45" s="351"/>
      <c r="G45" s="352">
        <f t="shared" si="0"/>
        <v>0</v>
      </c>
      <c r="H45" s="344"/>
    </row>
    <row r="46" spans="1:8" x14ac:dyDescent="0.3">
      <c r="A46" s="288">
        <v>30</v>
      </c>
      <c r="B46" s="288"/>
      <c r="C46" s="353" t="s">
        <v>2037</v>
      </c>
      <c r="D46" s="350" t="s">
        <v>140</v>
      </c>
      <c r="E46" s="350">
        <v>12</v>
      </c>
      <c r="F46" s="351"/>
      <c r="G46" s="352">
        <f t="shared" si="0"/>
        <v>0</v>
      </c>
      <c r="H46" s="344"/>
    </row>
    <row r="47" spans="1:8" x14ac:dyDescent="0.3">
      <c r="A47" s="288">
        <v>31</v>
      </c>
      <c r="B47" s="288"/>
      <c r="C47" s="353" t="s">
        <v>2038</v>
      </c>
      <c r="D47" s="350" t="s">
        <v>140</v>
      </c>
      <c r="E47" s="350">
        <v>12</v>
      </c>
      <c r="F47" s="351"/>
      <c r="G47" s="352">
        <f t="shared" si="0"/>
        <v>0</v>
      </c>
      <c r="H47" s="344"/>
    </row>
    <row r="48" spans="1:8" x14ac:dyDescent="0.3">
      <c r="A48" s="288">
        <v>32</v>
      </c>
      <c r="B48" s="288"/>
      <c r="C48" s="353" t="s">
        <v>2039</v>
      </c>
      <c r="D48" s="350" t="s">
        <v>26</v>
      </c>
      <c r="E48" s="350">
        <v>1</v>
      </c>
      <c r="F48" s="351"/>
      <c r="G48" s="352">
        <f t="shared" si="0"/>
        <v>0</v>
      </c>
      <c r="H48" s="344"/>
    </row>
    <row r="49" spans="1:8" x14ac:dyDescent="0.3">
      <c r="A49" s="288"/>
      <c r="B49" s="288"/>
      <c r="C49" s="349" t="s">
        <v>2040</v>
      </c>
      <c r="D49" s="350" t="s">
        <v>725</v>
      </c>
      <c r="E49" s="350"/>
      <c r="F49" s="351"/>
      <c r="G49" s="352">
        <f t="shared" si="0"/>
        <v>0</v>
      </c>
      <c r="H49" s="344"/>
    </row>
    <row r="50" spans="1:8" ht="31.2" x14ac:dyDescent="0.3">
      <c r="A50" s="288">
        <v>33</v>
      </c>
      <c r="B50" s="288"/>
      <c r="C50" s="353" t="s">
        <v>2041</v>
      </c>
      <c r="D50" s="350" t="s">
        <v>26</v>
      </c>
      <c r="E50" s="350">
        <v>1</v>
      </c>
      <c r="F50" s="351"/>
      <c r="G50" s="352">
        <f t="shared" si="0"/>
        <v>0</v>
      </c>
      <c r="H50" s="344"/>
    </row>
    <row r="51" spans="1:8" x14ac:dyDescent="0.3">
      <c r="A51" s="288"/>
      <c r="B51" s="288"/>
      <c r="C51" s="349" t="s">
        <v>2042</v>
      </c>
      <c r="D51" s="350" t="s">
        <v>725</v>
      </c>
      <c r="E51" s="350"/>
      <c r="F51" s="351"/>
      <c r="G51" s="352">
        <f t="shared" si="0"/>
        <v>0</v>
      </c>
      <c r="H51" s="344"/>
    </row>
    <row r="52" spans="1:8" x14ac:dyDescent="0.3">
      <c r="A52" s="288">
        <v>34</v>
      </c>
      <c r="B52" s="288"/>
      <c r="C52" s="353" t="s">
        <v>2043</v>
      </c>
      <c r="D52" s="350" t="s">
        <v>140</v>
      </c>
      <c r="E52" s="350">
        <v>15</v>
      </c>
      <c r="F52" s="351"/>
      <c r="G52" s="352">
        <f t="shared" si="0"/>
        <v>0</v>
      </c>
      <c r="H52" s="344"/>
    </row>
    <row r="53" spans="1:8" x14ac:dyDescent="0.3">
      <c r="A53" s="288">
        <v>35</v>
      </c>
      <c r="B53" s="288"/>
      <c r="C53" s="353" t="s">
        <v>2044</v>
      </c>
      <c r="D53" s="350" t="s">
        <v>140</v>
      </c>
      <c r="E53" s="350">
        <v>24</v>
      </c>
      <c r="F53" s="351"/>
      <c r="G53" s="352">
        <f t="shared" si="0"/>
        <v>0</v>
      </c>
      <c r="H53" s="344"/>
    </row>
    <row r="54" spans="1:8" x14ac:dyDescent="0.3">
      <c r="A54" s="288"/>
      <c r="B54" s="288"/>
      <c r="C54" s="349" t="s">
        <v>2045</v>
      </c>
      <c r="D54" s="350" t="s">
        <v>725</v>
      </c>
      <c r="E54" s="350"/>
      <c r="F54" s="351"/>
      <c r="G54" s="352">
        <f t="shared" si="0"/>
        <v>0</v>
      </c>
      <c r="H54" s="344"/>
    </row>
    <row r="55" spans="1:8" x14ac:dyDescent="0.3">
      <c r="A55" s="288">
        <v>36</v>
      </c>
      <c r="B55" s="288"/>
      <c r="C55" s="353" t="s">
        <v>2046</v>
      </c>
      <c r="D55" s="350" t="s">
        <v>140</v>
      </c>
      <c r="E55" s="350">
        <v>16</v>
      </c>
      <c r="F55" s="351"/>
      <c r="G55" s="352">
        <f t="shared" si="0"/>
        <v>0</v>
      </c>
      <c r="H55" s="344"/>
    </row>
    <row r="56" spans="1:8" x14ac:dyDescent="0.3">
      <c r="A56" s="288">
        <v>37</v>
      </c>
      <c r="B56" s="288"/>
      <c r="C56" s="353" t="s">
        <v>2047</v>
      </c>
      <c r="D56" s="350" t="s">
        <v>140</v>
      </c>
      <c r="E56" s="350">
        <v>10</v>
      </c>
      <c r="F56" s="351"/>
      <c r="G56" s="352">
        <f t="shared" si="0"/>
        <v>0</v>
      </c>
      <c r="H56" s="344"/>
    </row>
    <row r="57" spans="1:8" ht="31.2" x14ac:dyDescent="0.3">
      <c r="A57" s="288">
        <v>38</v>
      </c>
      <c r="B57" s="288"/>
      <c r="C57" s="353" t="s">
        <v>2048</v>
      </c>
      <c r="D57" s="350" t="s">
        <v>26</v>
      </c>
      <c r="E57" s="350">
        <v>6</v>
      </c>
      <c r="F57" s="351"/>
      <c r="G57" s="352">
        <f t="shared" si="0"/>
        <v>0</v>
      </c>
      <c r="H57" s="344"/>
    </row>
    <row r="58" spans="1:8" ht="31.2" x14ac:dyDescent="0.3">
      <c r="A58" s="288"/>
      <c r="B58" s="288"/>
      <c r="C58" s="349" t="s">
        <v>2049</v>
      </c>
      <c r="D58" s="350" t="s">
        <v>725</v>
      </c>
      <c r="E58" s="350"/>
      <c r="F58" s="351"/>
      <c r="G58" s="352">
        <f t="shared" si="0"/>
        <v>0</v>
      </c>
      <c r="H58" s="344"/>
    </row>
    <row r="59" spans="1:8" x14ac:dyDescent="0.3">
      <c r="A59" s="288">
        <v>39</v>
      </c>
      <c r="B59" s="288"/>
      <c r="C59" s="353" t="s">
        <v>2050</v>
      </c>
      <c r="D59" s="350" t="s">
        <v>26</v>
      </c>
      <c r="E59" s="350">
        <v>80</v>
      </c>
      <c r="F59" s="351"/>
      <c r="G59" s="352">
        <f t="shared" si="0"/>
        <v>0</v>
      </c>
      <c r="H59" s="344"/>
    </row>
    <row r="60" spans="1:8" ht="16.2" thickBot="1" x14ac:dyDescent="0.35">
      <c r="A60" s="288">
        <v>40</v>
      </c>
      <c r="B60" s="288"/>
      <c r="C60" s="355" t="s">
        <v>2051</v>
      </c>
      <c r="D60" s="350" t="s">
        <v>26</v>
      </c>
      <c r="E60" s="350">
        <v>1</v>
      </c>
      <c r="F60" s="351"/>
      <c r="G60" s="352">
        <f t="shared" si="0"/>
        <v>0</v>
      </c>
      <c r="H60" s="344"/>
    </row>
    <row r="61" spans="1:8" ht="16.2" thickBot="1" x14ac:dyDescent="0.35">
      <c r="A61" s="356"/>
      <c r="B61" s="357"/>
      <c r="C61" s="358" t="s">
        <v>2052</v>
      </c>
      <c r="D61" s="359"/>
      <c r="E61" s="360"/>
      <c r="F61" s="361"/>
      <c r="G61" s="362">
        <f>SUM(G7:G60)</f>
        <v>0</v>
      </c>
      <c r="H61" s="344"/>
    </row>
    <row r="62" spans="1:8" x14ac:dyDescent="0.3">
      <c r="A62" s="288"/>
      <c r="B62" s="288"/>
      <c r="C62" s="349" t="s">
        <v>2053</v>
      </c>
      <c r="D62" s="350"/>
      <c r="E62" s="288"/>
      <c r="F62" s="291"/>
      <c r="G62" s="363"/>
      <c r="H62" s="344"/>
    </row>
    <row r="63" spans="1:8" x14ac:dyDescent="0.3">
      <c r="A63" s="288">
        <v>41</v>
      </c>
      <c r="B63" s="288"/>
      <c r="C63" s="302" t="s">
        <v>2054</v>
      </c>
      <c r="D63" s="350" t="s">
        <v>358</v>
      </c>
      <c r="E63" s="364">
        <v>48</v>
      </c>
      <c r="F63" s="291"/>
      <c r="G63" s="352">
        <f t="shared" ref="G63:G68" si="1">E63*F63</f>
        <v>0</v>
      </c>
      <c r="H63" s="344"/>
    </row>
    <row r="64" spans="1:8" ht="49.5" customHeight="1" x14ac:dyDescent="0.3">
      <c r="A64" s="288">
        <v>42</v>
      </c>
      <c r="B64" s="365"/>
      <c r="C64" s="366" t="s">
        <v>2055</v>
      </c>
      <c r="D64" s="367" t="s">
        <v>358</v>
      </c>
      <c r="E64" s="368">
        <v>8</v>
      </c>
      <c r="F64" s="369"/>
      <c r="G64" s="370">
        <f t="shared" si="1"/>
        <v>0</v>
      </c>
      <c r="H64" s="344"/>
    </row>
    <row r="65" spans="1:8" x14ac:dyDescent="0.3">
      <c r="A65" s="288">
        <v>43</v>
      </c>
      <c r="B65" s="288"/>
      <c r="C65" s="302" t="s">
        <v>2056</v>
      </c>
      <c r="D65" s="350" t="s">
        <v>26</v>
      </c>
      <c r="E65" s="364">
        <v>1</v>
      </c>
      <c r="F65" s="291"/>
      <c r="G65" s="352">
        <f t="shared" si="1"/>
        <v>0</v>
      </c>
      <c r="H65" s="344"/>
    </row>
    <row r="66" spans="1:8" x14ac:dyDescent="0.3">
      <c r="A66" s="288">
        <v>44</v>
      </c>
      <c r="B66" s="288"/>
      <c r="C66" s="371" t="s">
        <v>2057</v>
      </c>
      <c r="D66" s="350" t="s">
        <v>358</v>
      </c>
      <c r="E66" s="364">
        <v>8</v>
      </c>
      <c r="F66" s="291"/>
      <c r="G66" s="352">
        <f t="shared" si="1"/>
        <v>0</v>
      </c>
      <c r="H66" s="344"/>
    </row>
    <row r="67" spans="1:8" x14ac:dyDescent="0.3">
      <c r="A67" s="288">
        <v>45</v>
      </c>
      <c r="B67" s="288"/>
      <c r="C67" s="371" t="s">
        <v>2058</v>
      </c>
      <c r="D67" s="350" t="s">
        <v>26</v>
      </c>
      <c r="E67" s="364">
        <v>1</v>
      </c>
      <c r="F67" s="291"/>
      <c r="G67" s="352">
        <f t="shared" si="1"/>
        <v>0</v>
      </c>
      <c r="H67" s="344"/>
    </row>
    <row r="68" spans="1:8" ht="16.2" thickBot="1" x14ac:dyDescent="0.35">
      <c r="A68" s="288">
        <v>46</v>
      </c>
      <c r="B68" s="288"/>
      <c r="C68" s="302" t="s">
        <v>2059</v>
      </c>
      <c r="D68" s="350" t="s">
        <v>26</v>
      </c>
      <c r="E68" s="364">
        <v>1</v>
      </c>
      <c r="F68" s="291"/>
      <c r="G68" s="352">
        <f t="shared" si="1"/>
        <v>0</v>
      </c>
      <c r="H68" s="344"/>
    </row>
    <row r="69" spans="1:8" ht="16.2" thickBot="1" x14ac:dyDescent="0.35">
      <c r="A69" s="356"/>
      <c r="B69" s="357"/>
      <c r="C69" s="358" t="s">
        <v>2060</v>
      </c>
      <c r="D69" s="375"/>
      <c r="E69" s="357"/>
      <c r="F69" s="376"/>
      <c r="G69" s="377">
        <f>SUM(G63:G68)</f>
        <v>0</v>
      </c>
      <c r="H69" s="344"/>
    </row>
    <row r="70" spans="1:8" x14ac:dyDescent="0.3">
      <c r="A70" s="338"/>
      <c r="B70" s="338"/>
      <c r="C70" s="326"/>
      <c r="D70" s="378"/>
      <c r="E70" s="338"/>
      <c r="F70" s="379"/>
      <c r="G70" s="343"/>
      <c r="H70" s="344"/>
    </row>
    <row r="71" spans="1:8" ht="16.2" thickBot="1" x14ac:dyDescent="0.35">
      <c r="A71" s="304"/>
      <c r="B71" s="304"/>
      <c r="C71" s="372"/>
      <c r="D71" s="373"/>
      <c r="E71" s="304"/>
      <c r="F71" s="374"/>
      <c r="G71" s="374"/>
      <c r="H71" s="344"/>
    </row>
    <row r="72" spans="1:8" x14ac:dyDescent="0.3">
      <c r="A72" s="380"/>
      <c r="B72" s="381"/>
      <c r="C72" s="382" t="s">
        <v>1992</v>
      </c>
      <c r="D72" s="383"/>
      <c r="E72" s="381"/>
      <c r="F72" s="384"/>
      <c r="G72" s="385">
        <f>SUM(G69,G61)</f>
        <v>0</v>
      </c>
      <c r="H72" s="344"/>
    </row>
    <row r="73" spans="1:8" x14ac:dyDescent="0.3">
      <c r="A73" s="386"/>
      <c r="B73" s="288"/>
      <c r="C73" s="387" t="s">
        <v>1993</v>
      </c>
      <c r="D73" s="350"/>
      <c r="E73" s="288"/>
      <c r="F73" s="363"/>
      <c r="G73" s="388">
        <f>SUM(G72*0.21)</f>
        <v>0</v>
      </c>
      <c r="H73" s="344"/>
    </row>
    <row r="74" spans="1:8" ht="16.2" thickBot="1" x14ac:dyDescent="0.35">
      <c r="A74" s="389"/>
      <c r="B74" s="390"/>
      <c r="C74" s="391" t="s">
        <v>1994</v>
      </c>
      <c r="D74" s="392"/>
      <c r="E74" s="390"/>
      <c r="F74" s="393"/>
      <c r="G74" s="394">
        <f>SUM(G72:G73)</f>
        <v>0</v>
      </c>
      <c r="H74" s="344"/>
    </row>
    <row r="75" spans="1:8" x14ac:dyDescent="0.3">
      <c r="H75" s="344"/>
    </row>
    <row r="76" spans="1:8" x14ac:dyDescent="0.3">
      <c r="H76" s="344"/>
    </row>
    <row r="119" spans="6:6" x14ac:dyDescent="0.3">
      <c r="F119" s="397"/>
    </row>
    <row r="120" spans="6:6" x14ac:dyDescent="0.3">
      <c r="F120" s="397"/>
    </row>
    <row r="121" spans="6:6" x14ac:dyDescent="0.3">
      <c r="F121" s="397"/>
    </row>
    <row r="122" spans="6:6" x14ac:dyDescent="0.3">
      <c r="F122" s="397"/>
    </row>
    <row r="123" spans="6:6" x14ac:dyDescent="0.3">
      <c r="F123" s="397"/>
    </row>
    <row r="124" spans="6:6" x14ac:dyDescent="0.3">
      <c r="F124" s="397"/>
    </row>
    <row r="125" spans="6:6" x14ac:dyDescent="0.3">
      <c r="F125" s="397"/>
    </row>
    <row r="126" spans="6:6" x14ac:dyDescent="0.3">
      <c r="F126" s="397"/>
    </row>
    <row r="127" spans="6:6" x14ac:dyDescent="0.3">
      <c r="F127" s="397"/>
    </row>
    <row r="128" spans="6:6" x14ac:dyDescent="0.3">
      <c r="F128" s="397"/>
    </row>
    <row r="129" spans="6:6" x14ac:dyDescent="0.3">
      <c r="F129" s="397"/>
    </row>
    <row r="130" spans="6:6" x14ac:dyDescent="0.3">
      <c r="F130" s="397"/>
    </row>
    <row r="131" spans="6:6" x14ac:dyDescent="0.3">
      <c r="F131" s="397"/>
    </row>
    <row r="132" spans="6:6" x14ac:dyDescent="0.3">
      <c r="F132" s="395"/>
    </row>
    <row r="134" spans="6:6" x14ac:dyDescent="0.3">
      <c r="F134" s="395"/>
    </row>
    <row r="174" spans="5:7" x14ac:dyDescent="0.3">
      <c r="G174" s="397"/>
    </row>
    <row r="175" spans="5:7" ht="13.5" customHeight="1" x14ac:dyDescent="0.3"/>
    <row r="176" spans="5:7" x14ac:dyDescent="0.3">
      <c r="E176" s="398"/>
    </row>
    <row r="184" ht="14.25" customHeight="1" x14ac:dyDescent="0.3"/>
    <row r="185" ht="14.25" customHeight="1" x14ac:dyDescent="0.3"/>
    <row r="186" ht="18.75" customHeight="1" x14ac:dyDescent="0.3"/>
    <row r="187" ht="18" customHeight="1" x14ac:dyDescent="0.3"/>
    <row r="188" ht="19.5" customHeight="1" x14ac:dyDescent="0.3"/>
  </sheetData>
  <pageMargins left="0.31496062992125984" right="0.31496062992125984" top="0.59055118110236227" bottom="0.59055118110236227" header="0.31496062992125984" footer="0.31496062992125984"/>
  <pageSetup paperSize="9" fitToHeight="100" orientation="portrait" r:id="rId1"/>
  <headerFooter>
    <oddFooter>Stránka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H184"/>
  <sheetViews>
    <sheetView topLeftCell="A38" workbookViewId="0">
      <selection activeCell="F46" sqref="F46:F183"/>
    </sheetView>
  </sheetViews>
  <sheetFormatPr defaultRowHeight="13.2" x14ac:dyDescent="0.25"/>
  <cols>
    <col min="1" max="1" width="4.77734375" style="823" customWidth="1"/>
    <col min="2" max="2" width="10.109375" style="579" customWidth="1"/>
    <col min="3" max="3" width="59.33203125" style="568" customWidth="1"/>
    <col min="4" max="4" width="4.88671875" style="551" customWidth="1"/>
    <col min="5" max="5" width="11.6640625" style="587" bestFit="1" customWidth="1"/>
    <col min="6" max="6" width="12.33203125" style="587" bestFit="1" customWidth="1"/>
    <col min="7" max="7" width="13.6640625" style="861" bestFit="1" customWidth="1"/>
    <col min="8" max="16384" width="8.88671875" style="550"/>
  </cols>
  <sheetData>
    <row r="1" spans="1:7" ht="13.8" x14ac:dyDescent="0.25">
      <c r="A1" s="817"/>
      <c r="B1" s="629"/>
      <c r="C1" s="818" t="s">
        <v>95</v>
      </c>
      <c r="D1" s="819"/>
      <c r="E1" s="820"/>
      <c r="F1" s="820"/>
      <c r="G1" s="821"/>
    </row>
    <row r="2" spans="1:7" x14ac:dyDescent="0.25">
      <c r="A2" s="817"/>
      <c r="B2" s="629"/>
      <c r="C2" s="822" t="s">
        <v>96</v>
      </c>
      <c r="D2" s="819"/>
      <c r="E2" s="820"/>
      <c r="F2" s="820"/>
      <c r="G2" s="821"/>
    </row>
    <row r="3" spans="1:7" x14ac:dyDescent="0.25">
      <c r="A3" s="817"/>
      <c r="B3" s="629"/>
      <c r="C3" s="822" t="s">
        <v>97</v>
      </c>
      <c r="D3" s="819"/>
      <c r="E3" s="820"/>
      <c r="F3" s="820"/>
      <c r="G3" s="821"/>
    </row>
    <row r="4" spans="1:7" x14ac:dyDescent="0.25">
      <c r="A4" s="817"/>
      <c r="B4" s="629"/>
      <c r="C4" s="822"/>
      <c r="D4" s="819"/>
      <c r="E4" s="820"/>
      <c r="F4" s="820"/>
      <c r="G4" s="821"/>
    </row>
    <row r="5" spans="1:7" x14ac:dyDescent="0.25">
      <c r="A5" s="817"/>
      <c r="B5" s="629"/>
      <c r="C5" s="822"/>
      <c r="D5" s="819"/>
      <c r="E5" s="820"/>
      <c r="F5" s="820"/>
      <c r="G5" s="821"/>
    </row>
    <row r="6" spans="1:7" x14ac:dyDescent="0.25">
      <c r="A6" s="817"/>
      <c r="B6" s="629"/>
      <c r="C6" s="822" t="s">
        <v>98</v>
      </c>
      <c r="D6" s="819"/>
      <c r="E6" s="820"/>
      <c r="F6" s="820"/>
      <c r="G6" s="821"/>
    </row>
    <row r="7" spans="1:7" x14ac:dyDescent="0.25">
      <c r="A7" s="817"/>
      <c r="B7" s="629"/>
      <c r="C7" s="822" t="s">
        <v>469</v>
      </c>
      <c r="D7" s="819"/>
      <c r="E7" s="820"/>
      <c r="F7" s="820"/>
      <c r="G7" s="821"/>
    </row>
    <row r="8" spans="1:7" x14ac:dyDescent="0.25">
      <c r="A8" s="817"/>
      <c r="B8" s="629"/>
      <c r="C8" s="822"/>
      <c r="D8" s="819"/>
      <c r="E8" s="820"/>
      <c r="F8" s="820"/>
      <c r="G8" s="821"/>
    </row>
    <row r="9" spans="1:7" x14ac:dyDescent="0.25">
      <c r="A9" s="817"/>
      <c r="B9" s="629"/>
      <c r="C9" s="822"/>
      <c r="D9" s="819"/>
      <c r="E9" s="820"/>
      <c r="F9" s="820"/>
      <c r="G9" s="821"/>
    </row>
    <row r="10" spans="1:7" x14ac:dyDescent="0.25">
      <c r="A10" s="817"/>
      <c r="B10" s="629"/>
      <c r="C10" s="822"/>
      <c r="D10" s="819"/>
      <c r="E10" s="820"/>
      <c r="F10" s="820"/>
      <c r="G10" s="821"/>
    </row>
    <row r="11" spans="1:7" x14ac:dyDescent="0.25">
      <c r="A11" s="817"/>
      <c r="B11" s="629"/>
      <c r="C11" s="822"/>
      <c r="D11" s="819"/>
      <c r="E11" s="820"/>
      <c r="F11" s="820"/>
      <c r="G11" s="821"/>
    </row>
    <row r="12" spans="1:7" x14ac:dyDescent="0.25">
      <c r="A12" s="817"/>
      <c r="B12" s="629"/>
      <c r="C12" s="822"/>
      <c r="D12" s="819"/>
      <c r="E12" s="820"/>
      <c r="F12" s="820"/>
      <c r="G12" s="821"/>
    </row>
    <row r="13" spans="1:7" x14ac:dyDescent="0.25">
      <c r="A13" s="817" t="s">
        <v>99</v>
      </c>
      <c r="B13" s="629"/>
      <c r="C13" s="823" t="s">
        <v>100</v>
      </c>
      <c r="D13" s="819"/>
      <c r="E13" s="820"/>
      <c r="F13" s="820"/>
      <c r="G13" s="821"/>
    </row>
    <row r="14" spans="1:7" ht="13.8" x14ac:dyDescent="0.25">
      <c r="A14" s="817" t="s">
        <v>101</v>
      </c>
      <c r="B14" s="629"/>
      <c r="C14" s="818" t="s">
        <v>470</v>
      </c>
      <c r="D14" s="819" t="s">
        <v>71</v>
      </c>
      <c r="E14" s="820"/>
      <c r="F14" s="820"/>
      <c r="G14" s="991">
        <f>G44</f>
        <v>0</v>
      </c>
    </row>
    <row r="15" spans="1:7" x14ac:dyDescent="0.25">
      <c r="A15" s="817" t="s">
        <v>102</v>
      </c>
      <c r="B15" s="629"/>
      <c r="C15" s="822"/>
      <c r="D15" s="819"/>
      <c r="E15" s="820"/>
      <c r="F15" s="820"/>
      <c r="G15" s="824"/>
    </row>
    <row r="16" spans="1:7" x14ac:dyDescent="0.25">
      <c r="A16" s="817" t="s">
        <v>103</v>
      </c>
      <c r="B16" s="629"/>
      <c r="C16" s="822" t="s">
        <v>104</v>
      </c>
      <c r="D16" s="819" t="s">
        <v>71</v>
      </c>
      <c r="E16" s="820"/>
      <c r="F16" s="820"/>
      <c r="G16" s="824">
        <f>SUM(G14:G15)</f>
        <v>0</v>
      </c>
    </row>
    <row r="17" spans="1:7" x14ac:dyDescent="0.25">
      <c r="A17" s="817" t="s">
        <v>105</v>
      </c>
      <c r="B17" s="629"/>
      <c r="C17" s="822" t="s">
        <v>2543</v>
      </c>
      <c r="D17" s="819" t="s">
        <v>71</v>
      </c>
      <c r="E17" s="825">
        <v>0.03</v>
      </c>
      <c r="F17" s="820"/>
      <c r="G17" s="824">
        <f>G16*E17</f>
        <v>0</v>
      </c>
    </row>
    <row r="18" spans="1:7" x14ac:dyDescent="0.25">
      <c r="A18" s="817" t="s">
        <v>107</v>
      </c>
      <c r="B18" s="629"/>
      <c r="C18" s="822" t="s">
        <v>108</v>
      </c>
      <c r="D18" s="819" t="s">
        <v>71</v>
      </c>
      <c r="E18" s="825"/>
      <c r="F18" s="820"/>
      <c r="G18" s="824">
        <f>SUM(G16:G17)</f>
        <v>0</v>
      </c>
    </row>
    <row r="19" spans="1:7" x14ac:dyDescent="0.25">
      <c r="A19" s="817" t="s">
        <v>109</v>
      </c>
      <c r="B19" s="629"/>
      <c r="C19" s="822" t="s">
        <v>110</v>
      </c>
      <c r="D19" s="819" t="s">
        <v>71</v>
      </c>
      <c r="E19" s="825">
        <v>0.21</v>
      </c>
      <c r="F19" s="820"/>
      <c r="G19" s="824">
        <f>G18*E19</f>
        <v>0</v>
      </c>
    </row>
    <row r="20" spans="1:7" x14ac:dyDescent="0.25">
      <c r="A20" s="817" t="s">
        <v>111</v>
      </c>
      <c r="B20" s="629"/>
      <c r="C20" s="822"/>
      <c r="D20" s="819"/>
      <c r="E20" s="820"/>
      <c r="F20" s="820"/>
      <c r="G20" s="824"/>
    </row>
    <row r="21" spans="1:7" x14ac:dyDescent="0.25">
      <c r="A21" s="817" t="s">
        <v>112</v>
      </c>
      <c r="B21" s="629"/>
      <c r="C21" s="822" t="s">
        <v>113</v>
      </c>
      <c r="D21" s="819" t="s">
        <v>71</v>
      </c>
      <c r="E21" s="820"/>
      <c r="F21" s="820"/>
      <c r="G21" s="824">
        <f>SUM(G18:G19)</f>
        <v>0</v>
      </c>
    </row>
    <row r="22" spans="1:7" x14ac:dyDescent="0.25">
      <c r="A22" s="817" t="s">
        <v>928</v>
      </c>
      <c r="B22" s="629"/>
      <c r="C22" s="826"/>
      <c r="D22" s="568"/>
      <c r="E22" s="827"/>
      <c r="F22" s="827"/>
      <c r="G22" s="828"/>
    </row>
    <row r="23" spans="1:7" ht="26.4" x14ac:dyDescent="0.25">
      <c r="A23" s="829" t="s">
        <v>114</v>
      </c>
      <c r="B23" s="830"/>
      <c r="C23" s="831" t="s">
        <v>115</v>
      </c>
      <c r="D23" s="832" t="s">
        <v>116</v>
      </c>
      <c r="E23" s="833" t="s">
        <v>117</v>
      </c>
      <c r="F23" s="833" t="s">
        <v>118</v>
      </c>
      <c r="G23" s="834" t="s">
        <v>119</v>
      </c>
    </row>
    <row r="24" spans="1:7" ht="26.4" x14ac:dyDescent="0.25">
      <c r="A24" s="817" t="s">
        <v>122</v>
      </c>
      <c r="B24" s="629"/>
      <c r="C24" s="568" t="s">
        <v>142</v>
      </c>
      <c r="D24" s="568"/>
      <c r="E24" s="827"/>
      <c r="F24" s="827"/>
      <c r="G24" s="828"/>
    </row>
    <row r="25" spans="1:7" ht="26.4" x14ac:dyDescent="0.25">
      <c r="A25" s="817" t="s">
        <v>123</v>
      </c>
      <c r="B25" s="629"/>
      <c r="C25" s="568" t="s">
        <v>143</v>
      </c>
      <c r="D25" s="568"/>
      <c r="E25" s="827"/>
      <c r="F25" s="827"/>
      <c r="G25" s="828"/>
    </row>
    <row r="26" spans="1:7" ht="92.4" x14ac:dyDescent="0.25">
      <c r="A26" s="817" t="s">
        <v>948</v>
      </c>
      <c r="B26" s="629"/>
      <c r="C26" s="568" t="s">
        <v>144</v>
      </c>
      <c r="D26" s="568"/>
      <c r="E26" s="827"/>
      <c r="F26" s="827"/>
      <c r="G26" s="828"/>
    </row>
    <row r="27" spans="1:7" ht="39.6" x14ac:dyDescent="0.25">
      <c r="A27" s="817" t="s">
        <v>967</v>
      </c>
      <c r="B27" s="629"/>
      <c r="C27" s="635" t="s">
        <v>2360</v>
      </c>
      <c r="D27" s="568"/>
      <c r="E27" s="827"/>
      <c r="F27" s="827"/>
      <c r="G27" s="828"/>
    </row>
    <row r="28" spans="1:7" x14ac:dyDescent="0.25">
      <c r="A28" s="817" t="s">
        <v>974</v>
      </c>
      <c r="B28" s="629"/>
      <c r="C28" s="568" t="s">
        <v>145</v>
      </c>
      <c r="D28" s="568"/>
      <c r="E28" s="827"/>
      <c r="F28" s="827"/>
      <c r="G28" s="828"/>
    </row>
    <row r="29" spans="1:7" ht="66" x14ac:dyDescent="0.25">
      <c r="A29" s="817" t="s">
        <v>980</v>
      </c>
      <c r="B29" s="629"/>
      <c r="C29" s="568" t="s">
        <v>146</v>
      </c>
      <c r="D29" s="568"/>
      <c r="E29" s="827"/>
      <c r="F29" s="827"/>
      <c r="G29" s="828"/>
    </row>
    <row r="30" spans="1:7" ht="26.4" x14ac:dyDescent="0.25">
      <c r="A30" s="817" t="s">
        <v>990</v>
      </c>
      <c r="B30" s="629"/>
      <c r="C30" s="568" t="s">
        <v>147</v>
      </c>
      <c r="D30" s="568"/>
      <c r="E30" s="827"/>
      <c r="F30" s="827"/>
      <c r="G30" s="828"/>
    </row>
    <row r="31" spans="1:7" ht="26.4" x14ac:dyDescent="0.25">
      <c r="A31" s="817" t="s">
        <v>996</v>
      </c>
      <c r="B31" s="629"/>
      <c r="C31" s="568" t="s">
        <v>148</v>
      </c>
      <c r="D31" s="568"/>
      <c r="E31" s="827"/>
      <c r="F31" s="827"/>
      <c r="G31" s="828"/>
    </row>
    <row r="32" spans="1:7" ht="39.6" x14ac:dyDescent="0.25">
      <c r="A32" s="817" t="s">
        <v>1002</v>
      </c>
      <c r="B32" s="629"/>
      <c r="C32" s="568" t="s">
        <v>149</v>
      </c>
      <c r="D32" s="568"/>
      <c r="E32" s="827"/>
      <c r="F32" s="827"/>
      <c r="G32" s="828"/>
    </row>
    <row r="33" spans="1:7" x14ac:dyDescent="0.25">
      <c r="A33" s="817" t="s">
        <v>1008</v>
      </c>
      <c r="B33" s="629"/>
      <c r="C33" s="568" t="s">
        <v>150</v>
      </c>
      <c r="D33" s="568"/>
      <c r="E33" s="827"/>
      <c r="F33" s="827"/>
      <c r="G33" s="828"/>
    </row>
    <row r="34" spans="1:7" x14ac:dyDescent="0.25">
      <c r="A34" s="817" t="s">
        <v>1012</v>
      </c>
      <c r="B34" s="629"/>
      <c r="C34" s="568" t="s">
        <v>151</v>
      </c>
      <c r="D34" s="568"/>
      <c r="E34" s="827"/>
      <c r="F34" s="827"/>
      <c r="G34" s="828"/>
    </row>
    <row r="35" spans="1:7" x14ac:dyDescent="0.25">
      <c r="A35" s="817" t="s">
        <v>1018</v>
      </c>
      <c r="B35" s="629"/>
      <c r="C35" s="550" t="s">
        <v>2358</v>
      </c>
      <c r="D35" s="568"/>
      <c r="E35" s="827"/>
      <c r="F35" s="827"/>
      <c r="G35" s="828"/>
    </row>
    <row r="36" spans="1:7" ht="26.4" x14ac:dyDescent="0.25">
      <c r="A36" s="817" t="s">
        <v>1022</v>
      </c>
      <c r="B36" s="629"/>
      <c r="C36" s="568" t="s">
        <v>152</v>
      </c>
      <c r="D36" s="568"/>
      <c r="E36" s="827"/>
      <c r="F36" s="827"/>
      <c r="G36" s="828"/>
    </row>
    <row r="37" spans="1:7" ht="26.4" x14ac:dyDescent="0.25">
      <c r="A37" s="817" t="s">
        <v>1026</v>
      </c>
      <c r="B37" s="629"/>
      <c r="C37" s="568" t="s">
        <v>153</v>
      </c>
      <c r="D37" s="568"/>
      <c r="E37" s="827"/>
      <c r="F37" s="827"/>
      <c r="G37" s="828"/>
    </row>
    <row r="38" spans="1:7" ht="26.4" x14ac:dyDescent="0.25">
      <c r="A38" s="817" t="s">
        <v>1030</v>
      </c>
      <c r="B38" s="629"/>
      <c r="C38" s="568" t="s">
        <v>154</v>
      </c>
      <c r="D38" s="568"/>
      <c r="E38" s="827"/>
      <c r="F38" s="827"/>
      <c r="G38" s="828"/>
    </row>
    <row r="39" spans="1:7" x14ac:dyDescent="0.25">
      <c r="A39" s="817" t="s">
        <v>1034</v>
      </c>
      <c r="B39" s="629"/>
      <c r="C39" s="550" t="s">
        <v>2359</v>
      </c>
      <c r="D39" s="568"/>
      <c r="E39" s="827"/>
      <c r="F39" s="827"/>
      <c r="G39" s="828"/>
    </row>
    <row r="40" spans="1:7" ht="26.4" x14ac:dyDescent="0.25">
      <c r="A40" s="817" t="s">
        <v>1038</v>
      </c>
      <c r="B40" s="629"/>
      <c r="C40" s="550" t="s">
        <v>2361</v>
      </c>
      <c r="D40" s="568"/>
      <c r="E40" s="827"/>
      <c r="F40" s="827"/>
      <c r="G40" s="828"/>
    </row>
    <row r="41" spans="1:7" ht="39.6" x14ac:dyDescent="0.25">
      <c r="A41" s="817" t="s">
        <v>1042</v>
      </c>
      <c r="B41" s="629"/>
      <c r="C41" s="568" t="s">
        <v>282</v>
      </c>
      <c r="D41" s="568"/>
      <c r="E41" s="827"/>
      <c r="F41" s="827"/>
      <c r="G41" s="828"/>
    </row>
    <row r="42" spans="1:7" x14ac:dyDescent="0.25">
      <c r="A42" s="817" t="s">
        <v>1046</v>
      </c>
      <c r="B42" s="629"/>
      <c r="C42" s="568" t="s">
        <v>2179</v>
      </c>
      <c r="D42" s="568"/>
      <c r="E42" s="827"/>
      <c r="F42" s="827"/>
      <c r="G42" s="828"/>
    </row>
    <row r="43" spans="1:7" x14ac:dyDescent="0.25">
      <c r="A43" s="817" t="s">
        <v>1050</v>
      </c>
      <c r="B43" s="629"/>
      <c r="C43" s="568" t="s">
        <v>2355</v>
      </c>
      <c r="D43" s="568"/>
      <c r="E43" s="827"/>
      <c r="F43" s="827"/>
      <c r="G43" s="828"/>
    </row>
    <row r="44" spans="1:7" s="835" customFormat="1" ht="26.4" x14ac:dyDescent="0.25">
      <c r="A44" s="817" t="s">
        <v>1054</v>
      </c>
      <c r="B44" s="992"/>
      <c r="C44" s="993" t="s">
        <v>2439</v>
      </c>
      <c r="D44" s="997" t="s">
        <v>71</v>
      </c>
      <c r="E44" s="998"/>
      <c r="F44" s="998"/>
      <c r="G44" s="999">
        <f>SUM(G46:G187)</f>
        <v>0</v>
      </c>
    </row>
    <row r="45" spans="1:7" s="835" customFormat="1" ht="26.4" x14ac:dyDescent="0.25">
      <c r="A45" s="817" t="s">
        <v>1058</v>
      </c>
      <c r="B45" s="994"/>
      <c r="C45" s="993" t="s">
        <v>471</v>
      </c>
      <c r="D45" s="994"/>
      <c r="E45" s="994"/>
      <c r="F45" s="994"/>
      <c r="G45" s="994"/>
    </row>
    <row r="46" spans="1:7" s="835" customFormat="1" ht="92.4" x14ac:dyDescent="0.25">
      <c r="A46" s="817" t="s">
        <v>1062</v>
      </c>
      <c r="B46" s="1000" t="s">
        <v>285</v>
      </c>
      <c r="C46" s="568" t="s">
        <v>472</v>
      </c>
      <c r="D46" s="1001" t="s">
        <v>26</v>
      </c>
      <c r="E46" s="1002">
        <v>12</v>
      </c>
      <c r="F46" s="1002"/>
      <c r="G46" s="1003">
        <f>E46*F46</f>
        <v>0</v>
      </c>
    </row>
    <row r="47" spans="1:7" s="835" customFormat="1" ht="26.4" x14ac:dyDescent="0.25">
      <c r="A47" s="817" t="s">
        <v>1066</v>
      </c>
      <c r="B47" s="629">
        <v>131213101</v>
      </c>
      <c r="C47" s="568" t="s">
        <v>2551</v>
      </c>
      <c r="D47" s="835" t="s">
        <v>2</v>
      </c>
      <c r="E47" s="836">
        <f>E48</f>
        <v>5.1840000000000002</v>
      </c>
      <c r="F47" s="836"/>
      <c r="G47" s="837">
        <f t="shared" ref="G47:G51" si="0">E47*F47</f>
        <v>0</v>
      </c>
    </row>
    <row r="48" spans="1:7" s="835" customFormat="1" x14ac:dyDescent="0.25">
      <c r="A48" s="817" t="s">
        <v>1070</v>
      </c>
      <c r="B48" s="629">
        <v>272311511</v>
      </c>
      <c r="C48" s="568" t="s">
        <v>2552</v>
      </c>
      <c r="D48" s="835" t="s">
        <v>2</v>
      </c>
      <c r="E48" s="836">
        <f>0.6*0.6*0.6*2*12</f>
        <v>5.1840000000000002</v>
      </c>
      <c r="F48" s="836"/>
      <c r="G48" s="837">
        <f t="shared" si="0"/>
        <v>0</v>
      </c>
    </row>
    <row r="49" spans="1:7" s="835" customFormat="1" ht="26.4" x14ac:dyDescent="0.25">
      <c r="A49" s="817" t="s">
        <v>1075</v>
      </c>
      <c r="B49" s="630">
        <v>162251101</v>
      </c>
      <c r="C49" s="568" t="s">
        <v>2553</v>
      </c>
      <c r="D49" s="838" t="s">
        <v>2</v>
      </c>
      <c r="E49" s="836">
        <f>E47</f>
        <v>5.1840000000000002</v>
      </c>
      <c r="F49" s="836"/>
      <c r="G49" s="837">
        <f t="shared" si="0"/>
        <v>0</v>
      </c>
    </row>
    <row r="50" spans="1:7" s="835" customFormat="1" x14ac:dyDescent="0.25">
      <c r="A50" s="817" t="s">
        <v>1079</v>
      </c>
      <c r="B50" s="630">
        <v>174151101</v>
      </c>
      <c r="C50" s="568" t="s">
        <v>2554</v>
      </c>
      <c r="D50" s="838" t="s">
        <v>2</v>
      </c>
      <c r="E50" s="836">
        <f>E48</f>
        <v>5.1840000000000002</v>
      </c>
      <c r="F50" s="836"/>
      <c r="G50" s="837">
        <f t="shared" si="0"/>
        <v>0</v>
      </c>
    </row>
    <row r="51" spans="1:7" s="835" customFormat="1" ht="26.4" x14ac:dyDescent="0.25">
      <c r="A51" s="817" t="s">
        <v>1083</v>
      </c>
      <c r="B51" s="629">
        <v>953961200</v>
      </c>
      <c r="C51" s="819" t="s">
        <v>2555</v>
      </c>
      <c r="D51" s="835" t="s">
        <v>26</v>
      </c>
      <c r="E51" s="836">
        <f>4*2*12</f>
        <v>96</v>
      </c>
      <c r="F51" s="836"/>
      <c r="G51" s="837">
        <f t="shared" si="0"/>
        <v>0</v>
      </c>
    </row>
    <row r="52" spans="1:7" s="835" customFormat="1" ht="21.6" customHeight="1" x14ac:dyDescent="0.25">
      <c r="A52" s="817" t="s">
        <v>1087</v>
      </c>
      <c r="B52" s="992"/>
      <c r="C52" s="993" t="s">
        <v>473</v>
      </c>
      <c r="D52" s="994"/>
      <c r="E52" s="995"/>
      <c r="F52" s="995"/>
      <c r="G52" s="996"/>
    </row>
    <row r="53" spans="1:7" s="835" customFormat="1" ht="198" x14ac:dyDescent="0.25">
      <c r="A53" s="817" t="s">
        <v>1092</v>
      </c>
      <c r="B53" s="629" t="s">
        <v>285</v>
      </c>
      <c r="C53" s="568" t="s">
        <v>688</v>
      </c>
      <c r="D53" s="835" t="s">
        <v>26</v>
      </c>
      <c r="E53" s="836">
        <v>24</v>
      </c>
      <c r="F53" s="836"/>
      <c r="G53" s="837">
        <f>E53*F53</f>
        <v>0</v>
      </c>
    </row>
    <row r="54" spans="1:7" s="835" customFormat="1" ht="26.4" x14ac:dyDescent="0.25">
      <c r="A54" s="817" t="s">
        <v>1097</v>
      </c>
      <c r="B54" s="629" t="s">
        <v>285</v>
      </c>
      <c r="C54" s="839" t="s">
        <v>474</v>
      </c>
      <c r="D54" s="835" t="s">
        <v>26</v>
      </c>
      <c r="E54" s="836">
        <v>24</v>
      </c>
      <c r="F54" s="836"/>
      <c r="G54" s="837">
        <f>E54*F54</f>
        <v>0</v>
      </c>
    </row>
    <row r="55" spans="1:7" s="835" customFormat="1" ht="79.2" x14ac:dyDescent="0.25">
      <c r="A55" s="817" t="s">
        <v>1102</v>
      </c>
      <c r="B55" s="629" t="s">
        <v>285</v>
      </c>
      <c r="C55" s="568" t="s">
        <v>2556</v>
      </c>
      <c r="D55" s="835" t="s">
        <v>26</v>
      </c>
      <c r="E55" s="836">
        <v>24</v>
      </c>
      <c r="F55" s="836"/>
      <c r="G55" s="837">
        <f>E55*F55</f>
        <v>0</v>
      </c>
    </row>
    <row r="56" spans="1:7" s="835" customFormat="1" ht="26.4" x14ac:dyDescent="0.25">
      <c r="A56" s="817" t="s">
        <v>1106</v>
      </c>
      <c r="B56" s="629" t="s">
        <v>382</v>
      </c>
      <c r="C56" s="635" t="s">
        <v>2396</v>
      </c>
      <c r="D56" s="826" t="s">
        <v>26</v>
      </c>
      <c r="E56" s="636">
        <v>24</v>
      </c>
      <c r="F56" s="636"/>
      <c r="G56" s="841">
        <f>E56*F56</f>
        <v>0</v>
      </c>
    </row>
    <row r="57" spans="1:7" s="835" customFormat="1" x14ac:dyDescent="0.25">
      <c r="A57" s="817" t="s">
        <v>1111</v>
      </c>
      <c r="B57" s="992"/>
      <c r="C57" s="993" t="s">
        <v>475</v>
      </c>
      <c r="D57" s="994"/>
      <c r="E57" s="995"/>
      <c r="F57" s="995"/>
      <c r="G57" s="996"/>
    </row>
    <row r="58" spans="1:7" s="835" customFormat="1" ht="118.8" x14ac:dyDescent="0.25">
      <c r="A58" s="817" t="s">
        <v>1116</v>
      </c>
      <c r="B58" s="629" t="s">
        <v>285</v>
      </c>
      <c r="C58" s="839" t="s">
        <v>476</v>
      </c>
      <c r="D58" s="835" t="s">
        <v>26</v>
      </c>
      <c r="E58" s="836">
        <v>6</v>
      </c>
      <c r="F58" s="836"/>
      <c r="G58" s="837">
        <f>E58*F58</f>
        <v>0</v>
      </c>
    </row>
    <row r="59" spans="1:7" s="835" customFormat="1" ht="66" x14ac:dyDescent="0.25">
      <c r="A59" s="817" t="s">
        <v>1121</v>
      </c>
      <c r="B59" s="629" t="s">
        <v>285</v>
      </c>
      <c r="C59" s="568" t="s">
        <v>2557</v>
      </c>
      <c r="D59" s="835" t="s">
        <v>26</v>
      </c>
      <c r="E59" s="836">
        <v>6</v>
      </c>
      <c r="F59" s="836"/>
      <c r="G59" s="837">
        <f>E59*F59</f>
        <v>0</v>
      </c>
    </row>
    <row r="60" spans="1:7" s="835" customFormat="1" ht="26.4" x14ac:dyDescent="0.25">
      <c r="A60" s="817" t="s">
        <v>1125</v>
      </c>
      <c r="B60" s="629"/>
      <c r="C60" s="844" t="s">
        <v>477</v>
      </c>
      <c r="E60" s="840"/>
      <c r="F60" s="836"/>
      <c r="G60" s="837"/>
    </row>
    <row r="61" spans="1:7" s="835" customFormat="1" ht="92.4" x14ac:dyDescent="0.25">
      <c r="A61" s="817" t="s">
        <v>1130</v>
      </c>
      <c r="B61" s="629" t="s">
        <v>285</v>
      </c>
      <c r="C61" s="568" t="s">
        <v>472</v>
      </c>
      <c r="D61" s="835" t="s">
        <v>26</v>
      </c>
      <c r="E61" s="840">
        <v>14</v>
      </c>
      <c r="F61" s="836"/>
      <c r="G61" s="837">
        <f t="shared" ref="G61:G66" si="1">E61*F61</f>
        <v>0</v>
      </c>
    </row>
    <row r="62" spans="1:7" s="835" customFormat="1" ht="26.4" x14ac:dyDescent="0.25">
      <c r="A62" s="817" t="s">
        <v>1134</v>
      </c>
      <c r="B62" s="629">
        <v>131213101</v>
      </c>
      <c r="C62" s="568" t="s">
        <v>2551</v>
      </c>
      <c r="D62" s="835" t="s">
        <v>2</v>
      </c>
      <c r="E62" s="840">
        <f>E63</f>
        <v>5.04</v>
      </c>
      <c r="F62" s="836"/>
      <c r="G62" s="837">
        <f t="shared" si="1"/>
        <v>0</v>
      </c>
    </row>
    <row r="63" spans="1:7" s="835" customFormat="1" x14ac:dyDescent="0.25">
      <c r="A63" s="817" t="s">
        <v>1139</v>
      </c>
      <c r="B63" s="629">
        <v>272311511</v>
      </c>
      <c r="C63" s="568" t="s">
        <v>2558</v>
      </c>
      <c r="D63" s="835" t="s">
        <v>2</v>
      </c>
      <c r="E63" s="836">
        <f>0.6*0.6*1*14</f>
        <v>5.04</v>
      </c>
      <c r="F63" s="836"/>
      <c r="G63" s="837">
        <f t="shared" si="1"/>
        <v>0</v>
      </c>
    </row>
    <row r="64" spans="1:7" s="835" customFormat="1" ht="26.4" x14ac:dyDescent="0.25">
      <c r="A64" s="817" t="s">
        <v>1143</v>
      </c>
      <c r="B64" s="630">
        <v>162251101</v>
      </c>
      <c r="C64" s="568" t="s">
        <v>2553</v>
      </c>
      <c r="D64" s="838" t="s">
        <v>2</v>
      </c>
      <c r="E64" s="836">
        <f>E62</f>
        <v>5.04</v>
      </c>
      <c r="F64" s="836"/>
      <c r="G64" s="837">
        <f t="shared" si="1"/>
        <v>0</v>
      </c>
    </row>
    <row r="65" spans="1:8" s="835" customFormat="1" x14ac:dyDescent="0.25">
      <c r="A65" s="817" t="s">
        <v>1148</v>
      </c>
      <c r="B65" s="630">
        <v>174151101</v>
      </c>
      <c r="C65" s="568" t="s">
        <v>2554</v>
      </c>
      <c r="D65" s="838" t="s">
        <v>2</v>
      </c>
      <c r="E65" s="836">
        <f>E64</f>
        <v>5.04</v>
      </c>
      <c r="F65" s="836"/>
      <c r="G65" s="837">
        <f t="shared" si="1"/>
        <v>0</v>
      </c>
    </row>
    <row r="66" spans="1:8" s="835" customFormat="1" ht="26.4" x14ac:dyDescent="0.25">
      <c r="A66" s="817" t="s">
        <v>1152</v>
      </c>
      <c r="B66" s="629" t="s">
        <v>285</v>
      </c>
      <c r="C66" s="819" t="s">
        <v>2559</v>
      </c>
      <c r="D66" s="835" t="s">
        <v>26</v>
      </c>
      <c r="E66" s="836">
        <f>4*2*14</f>
        <v>112</v>
      </c>
      <c r="F66" s="836"/>
      <c r="G66" s="837">
        <f t="shared" si="1"/>
        <v>0</v>
      </c>
    </row>
    <row r="67" spans="1:8" s="835" customFormat="1" x14ac:dyDescent="0.25">
      <c r="A67" s="817" t="s">
        <v>1157</v>
      </c>
      <c r="B67" s="992"/>
      <c r="C67" s="1004" t="s">
        <v>478</v>
      </c>
      <c r="D67" s="1005"/>
      <c r="E67" s="1006"/>
      <c r="F67" s="1006"/>
      <c r="G67" s="996"/>
      <c r="H67" s="845"/>
    </row>
    <row r="68" spans="1:8" s="835" customFormat="1" ht="171.6" x14ac:dyDescent="0.25">
      <c r="A68" s="817" t="s">
        <v>1162</v>
      </c>
      <c r="B68" s="629" t="s">
        <v>285</v>
      </c>
      <c r="C68" s="842" t="s">
        <v>479</v>
      </c>
      <c r="D68" s="835" t="s">
        <v>26</v>
      </c>
      <c r="E68" s="840">
        <v>6</v>
      </c>
      <c r="F68" s="836"/>
      <c r="G68" s="837">
        <f>E68*F68</f>
        <v>0</v>
      </c>
      <c r="H68" s="845"/>
    </row>
    <row r="69" spans="1:8" s="835" customFormat="1" ht="66" x14ac:dyDescent="0.25">
      <c r="A69" s="817" t="s">
        <v>1167</v>
      </c>
      <c r="B69" s="629" t="s">
        <v>285</v>
      </c>
      <c r="C69" s="568" t="s">
        <v>2560</v>
      </c>
      <c r="D69" s="835" t="s">
        <v>26</v>
      </c>
      <c r="E69" s="836">
        <v>24</v>
      </c>
      <c r="F69" s="836"/>
      <c r="G69" s="837">
        <f>E69*F69</f>
        <v>0</v>
      </c>
      <c r="H69" s="845"/>
    </row>
    <row r="70" spans="1:8" s="835" customFormat="1" x14ac:dyDescent="0.25">
      <c r="A70" s="817" t="s">
        <v>1172</v>
      </c>
      <c r="B70" s="992"/>
      <c r="C70" s="1004" t="s">
        <v>480</v>
      </c>
      <c r="D70" s="994"/>
      <c r="E70" s="1006"/>
      <c r="F70" s="1006"/>
      <c r="G70" s="996"/>
      <c r="H70" s="845"/>
    </row>
    <row r="71" spans="1:8" s="835" customFormat="1" ht="105.6" x14ac:dyDescent="0.25">
      <c r="A71" s="817" t="s">
        <v>1177</v>
      </c>
      <c r="B71" s="629" t="s">
        <v>285</v>
      </c>
      <c r="C71" s="842" t="s">
        <v>481</v>
      </c>
      <c r="D71" s="835" t="s">
        <v>26</v>
      </c>
      <c r="E71" s="843">
        <v>2</v>
      </c>
      <c r="F71" s="843"/>
      <c r="G71" s="837">
        <f>E71*F71</f>
        <v>0</v>
      </c>
      <c r="H71" s="845"/>
    </row>
    <row r="72" spans="1:8" s="835" customFormat="1" ht="66" x14ac:dyDescent="0.25">
      <c r="A72" s="817" t="s">
        <v>1183</v>
      </c>
      <c r="B72" s="629" t="s">
        <v>285</v>
      </c>
      <c r="C72" s="568" t="s">
        <v>2561</v>
      </c>
      <c r="D72" s="835" t="s">
        <v>26</v>
      </c>
      <c r="E72" s="836">
        <v>2</v>
      </c>
      <c r="F72" s="836"/>
      <c r="G72" s="837">
        <f>E72*F72</f>
        <v>0</v>
      </c>
    </row>
    <row r="73" spans="1:8" s="835" customFormat="1" x14ac:dyDescent="0.25">
      <c r="A73" s="817" t="s">
        <v>1188</v>
      </c>
      <c r="B73" s="992"/>
      <c r="C73" s="993" t="s">
        <v>482</v>
      </c>
      <c r="D73" s="994"/>
      <c r="E73" s="995"/>
      <c r="F73" s="995"/>
      <c r="G73" s="996"/>
    </row>
    <row r="74" spans="1:8" s="835" customFormat="1" ht="118.8" x14ac:dyDescent="0.25">
      <c r="A74" s="817" t="s">
        <v>1193</v>
      </c>
      <c r="B74" s="629" t="s">
        <v>285</v>
      </c>
      <c r="C74" s="839" t="s">
        <v>483</v>
      </c>
      <c r="D74" s="835" t="s">
        <v>26</v>
      </c>
      <c r="E74" s="840">
        <v>6</v>
      </c>
      <c r="F74" s="836"/>
      <c r="G74" s="837">
        <f>E74*F74</f>
        <v>0</v>
      </c>
    </row>
    <row r="75" spans="1:8" s="835" customFormat="1" ht="66" x14ac:dyDescent="0.25">
      <c r="A75" s="817" t="s">
        <v>1198</v>
      </c>
      <c r="B75" s="629" t="s">
        <v>285</v>
      </c>
      <c r="C75" s="568" t="s">
        <v>2562</v>
      </c>
      <c r="D75" s="835" t="s">
        <v>26</v>
      </c>
      <c r="E75" s="836">
        <v>6</v>
      </c>
      <c r="F75" s="836"/>
      <c r="G75" s="837">
        <f>E75*F75</f>
        <v>0</v>
      </c>
    </row>
    <row r="76" spans="1:8" s="835" customFormat="1" x14ac:dyDescent="0.25">
      <c r="A76" s="817" t="s">
        <v>1204</v>
      </c>
      <c r="B76" s="992"/>
      <c r="C76" s="993" t="s">
        <v>484</v>
      </c>
      <c r="D76" s="994"/>
      <c r="E76" s="995"/>
      <c r="F76" s="995"/>
      <c r="G76" s="996"/>
    </row>
    <row r="77" spans="1:8" s="835" customFormat="1" ht="184.8" x14ac:dyDescent="0.25">
      <c r="A77" s="817" t="s">
        <v>1208</v>
      </c>
      <c r="B77" s="629" t="s">
        <v>285</v>
      </c>
      <c r="C77" s="568" t="s">
        <v>485</v>
      </c>
      <c r="D77" s="835" t="s">
        <v>26</v>
      </c>
      <c r="E77" s="836">
        <v>1</v>
      </c>
      <c r="F77" s="836"/>
      <c r="G77" s="837">
        <f>E77*F77</f>
        <v>0</v>
      </c>
    </row>
    <row r="78" spans="1:8" s="835" customFormat="1" ht="79.2" x14ac:dyDescent="0.25">
      <c r="A78" s="817" t="s">
        <v>1212</v>
      </c>
      <c r="B78" s="629" t="s">
        <v>285</v>
      </c>
      <c r="C78" s="568" t="s">
        <v>2563</v>
      </c>
      <c r="D78" s="835" t="s">
        <v>26</v>
      </c>
      <c r="E78" s="836">
        <v>1</v>
      </c>
      <c r="F78" s="836"/>
      <c r="G78" s="837">
        <f>E78*F78</f>
        <v>0</v>
      </c>
    </row>
    <row r="79" spans="1:8" s="835" customFormat="1" x14ac:dyDescent="0.25">
      <c r="A79" s="817" t="s">
        <v>1216</v>
      </c>
      <c r="B79" s="992"/>
      <c r="C79" s="993" t="s">
        <v>486</v>
      </c>
      <c r="D79" s="994"/>
      <c r="E79" s="995"/>
      <c r="F79" s="995"/>
      <c r="G79" s="996"/>
    </row>
    <row r="80" spans="1:8" s="835" customFormat="1" ht="79.2" x14ac:dyDescent="0.25">
      <c r="A80" s="817" t="s">
        <v>1221</v>
      </c>
      <c r="B80" s="629" t="s">
        <v>285</v>
      </c>
      <c r="C80" s="568" t="s">
        <v>487</v>
      </c>
      <c r="D80" s="835" t="s">
        <v>26</v>
      </c>
      <c r="E80" s="836">
        <v>8</v>
      </c>
      <c r="F80" s="836"/>
      <c r="G80" s="837">
        <f>E80*F80</f>
        <v>0</v>
      </c>
    </row>
    <row r="81" spans="1:7" s="835" customFormat="1" x14ac:dyDescent="0.25">
      <c r="A81" s="817" t="s">
        <v>1225</v>
      </c>
      <c r="B81" s="992"/>
      <c r="C81" s="993" t="s">
        <v>488</v>
      </c>
      <c r="D81" s="994"/>
      <c r="E81" s="995"/>
      <c r="F81" s="995"/>
      <c r="G81" s="996"/>
    </row>
    <row r="82" spans="1:7" s="835" customFormat="1" ht="105.6" x14ac:dyDescent="0.25">
      <c r="A82" s="817" t="s">
        <v>1230</v>
      </c>
      <c r="B82" s="629" t="s">
        <v>285</v>
      </c>
      <c r="C82" s="568" t="s">
        <v>2397</v>
      </c>
      <c r="D82" s="835" t="s">
        <v>51</v>
      </c>
      <c r="E82" s="836">
        <f>(1.985+0.16+1.06*2)*4.1*4+1*2*4</f>
        <v>77.945999999999998</v>
      </c>
      <c r="F82" s="836"/>
      <c r="G82" s="837">
        <f>E82*F82</f>
        <v>0</v>
      </c>
    </row>
    <row r="83" spans="1:7" s="835" customFormat="1" x14ac:dyDescent="0.25">
      <c r="A83" s="817" t="s">
        <v>1236</v>
      </c>
      <c r="B83" s="992"/>
      <c r="C83" s="993" t="s">
        <v>489</v>
      </c>
      <c r="D83" s="994"/>
      <c r="E83" s="995"/>
      <c r="F83" s="995"/>
      <c r="G83" s="996"/>
    </row>
    <row r="84" spans="1:7" s="835" customFormat="1" ht="105.6" x14ac:dyDescent="0.25">
      <c r="A84" s="817" t="s">
        <v>1258</v>
      </c>
      <c r="B84" s="629"/>
      <c r="C84" s="568" t="s">
        <v>490</v>
      </c>
      <c r="D84" s="835" t="s">
        <v>51</v>
      </c>
      <c r="E84" s="836">
        <f>((2.71+0.16+1.06*1+1.1*2)+(0.9+0.16+1.06+1.09))*4.1+1*5</f>
        <v>43.293999999999997</v>
      </c>
      <c r="F84" s="836"/>
      <c r="G84" s="837">
        <f>E84*F84</f>
        <v>0</v>
      </c>
    </row>
    <row r="85" spans="1:7" s="835" customFormat="1" ht="26.4" x14ac:dyDescent="0.25">
      <c r="A85" s="817" t="s">
        <v>1262</v>
      </c>
      <c r="B85" s="629"/>
      <c r="C85" s="568" t="s">
        <v>2564</v>
      </c>
      <c r="D85" s="835" t="s">
        <v>26</v>
      </c>
      <c r="E85" s="836">
        <f>4*8+4*5</f>
        <v>52</v>
      </c>
      <c r="F85" s="836"/>
      <c r="G85" s="837">
        <f>E85*F85</f>
        <v>0</v>
      </c>
    </row>
    <row r="86" spans="1:7" s="835" customFormat="1" ht="39.6" x14ac:dyDescent="0.25">
      <c r="A86" s="817" t="s">
        <v>1266</v>
      </c>
      <c r="B86" s="630" t="s">
        <v>285</v>
      </c>
      <c r="C86" s="568" t="s">
        <v>2565</v>
      </c>
      <c r="D86" s="838" t="s">
        <v>51</v>
      </c>
      <c r="E86" s="843">
        <f>E82+E84</f>
        <v>121.24</v>
      </c>
      <c r="F86" s="843"/>
      <c r="G86" s="846">
        <f>E86*F86</f>
        <v>0</v>
      </c>
    </row>
    <row r="87" spans="1:7" s="835" customFormat="1" ht="39.6" x14ac:dyDescent="0.25">
      <c r="A87" s="817" t="s">
        <v>1270</v>
      </c>
      <c r="B87" s="630"/>
      <c r="C87" s="568" t="s">
        <v>491</v>
      </c>
      <c r="D87" s="838"/>
      <c r="E87" s="843"/>
      <c r="F87" s="843"/>
      <c r="G87" s="846"/>
    </row>
    <row r="88" spans="1:7" s="835" customFormat="1" ht="39.6" x14ac:dyDescent="0.25">
      <c r="A88" s="817" t="s">
        <v>1274</v>
      </c>
      <c r="B88" s="629"/>
      <c r="C88" s="568" t="s">
        <v>2566</v>
      </c>
      <c r="D88" s="835" t="s">
        <v>2</v>
      </c>
      <c r="E88" s="836">
        <f>0.4*0.4*0.4*(8+5)</f>
        <v>0.83200000000000018</v>
      </c>
      <c r="F88" s="843"/>
      <c r="G88" s="846">
        <f>E88*F88</f>
        <v>0</v>
      </c>
    </row>
    <row r="89" spans="1:7" s="835" customFormat="1" x14ac:dyDescent="0.25">
      <c r="A89" s="817" t="s">
        <v>1278</v>
      </c>
      <c r="B89" s="992"/>
      <c r="C89" s="993" t="s">
        <v>492</v>
      </c>
      <c r="D89" s="994"/>
      <c r="E89" s="995"/>
      <c r="F89" s="995"/>
      <c r="G89" s="996"/>
    </row>
    <row r="90" spans="1:7" s="835" customFormat="1" ht="92.4" x14ac:dyDescent="0.25">
      <c r="A90" s="817" t="s">
        <v>1288</v>
      </c>
      <c r="B90" s="629"/>
      <c r="C90" s="568" t="s">
        <v>2567</v>
      </c>
      <c r="D90" s="835" t="s">
        <v>26</v>
      </c>
      <c r="E90" s="836">
        <v>1</v>
      </c>
      <c r="F90" s="836"/>
      <c r="G90" s="846">
        <f>E90*F90</f>
        <v>0</v>
      </c>
    </row>
    <row r="91" spans="1:7" s="835" customFormat="1" ht="26.4" x14ac:dyDescent="0.25">
      <c r="A91" s="817" t="s">
        <v>1292</v>
      </c>
      <c r="B91" s="629"/>
      <c r="C91" s="568" t="s">
        <v>2568</v>
      </c>
      <c r="D91" s="835" t="s">
        <v>2</v>
      </c>
      <c r="E91" s="836">
        <f>1*1.2*5.8</f>
        <v>6.96</v>
      </c>
      <c r="F91" s="836"/>
      <c r="G91" s="846">
        <f>E91*F91</f>
        <v>0</v>
      </c>
    </row>
    <row r="92" spans="1:7" s="835" customFormat="1" ht="26.4" x14ac:dyDescent="0.25">
      <c r="A92" s="817" t="s">
        <v>1298</v>
      </c>
      <c r="B92" s="629"/>
      <c r="C92" s="568" t="s">
        <v>2569</v>
      </c>
      <c r="D92" s="835" t="s">
        <v>26</v>
      </c>
      <c r="E92" s="836">
        <f>6*6</f>
        <v>36</v>
      </c>
      <c r="F92" s="836"/>
      <c r="G92" s="846">
        <f>E92*F92</f>
        <v>0</v>
      </c>
    </row>
    <row r="93" spans="1:7" s="835" customFormat="1" x14ac:dyDescent="0.25">
      <c r="A93" s="817" t="s">
        <v>1302</v>
      </c>
      <c r="B93" s="1007"/>
      <c r="C93" s="993" t="s">
        <v>493</v>
      </c>
      <c r="D93" s="1008"/>
      <c r="E93" s="1006"/>
      <c r="F93" s="1006"/>
      <c r="G93" s="1009"/>
    </row>
    <row r="94" spans="1:7" s="835" customFormat="1" ht="198" x14ac:dyDescent="0.25">
      <c r="A94" s="817" t="s">
        <v>1307</v>
      </c>
      <c r="B94" s="630" t="s">
        <v>285</v>
      </c>
      <c r="C94" s="568" t="s">
        <v>2570</v>
      </c>
      <c r="D94" s="838"/>
      <c r="E94" s="843"/>
      <c r="F94" s="843"/>
      <c r="G94" s="846"/>
    </row>
    <row r="95" spans="1:7" s="835" customFormat="1" ht="264" x14ac:dyDescent="0.25">
      <c r="A95" s="817" t="s">
        <v>1313</v>
      </c>
      <c r="B95" s="630"/>
      <c r="C95" s="568" t="s">
        <v>2398</v>
      </c>
      <c r="D95" s="838" t="s">
        <v>26</v>
      </c>
      <c r="E95" s="843">
        <v>1</v>
      </c>
      <c r="F95" s="843"/>
      <c r="G95" s="837">
        <f>E95*F95</f>
        <v>0</v>
      </c>
    </row>
    <row r="96" spans="1:7" s="835" customFormat="1" ht="66" x14ac:dyDescent="0.25">
      <c r="A96" s="817" t="s">
        <v>1318</v>
      </c>
      <c r="B96" s="629" t="s">
        <v>285</v>
      </c>
      <c r="C96" s="568" t="s">
        <v>2571</v>
      </c>
      <c r="D96" s="835" t="s">
        <v>26</v>
      </c>
      <c r="E96" s="836">
        <v>1</v>
      </c>
      <c r="F96" s="836"/>
      <c r="G96" s="837">
        <f>E96*F96</f>
        <v>0</v>
      </c>
    </row>
    <row r="97" spans="1:7" s="835" customFormat="1" ht="26.4" x14ac:dyDescent="0.25">
      <c r="A97" s="817" t="s">
        <v>1323</v>
      </c>
      <c r="B97" s="629"/>
      <c r="C97" s="842" t="s">
        <v>2572</v>
      </c>
      <c r="D97" s="835" t="s">
        <v>2</v>
      </c>
      <c r="E97" s="843">
        <f>0.6*0.8*0.2*2</f>
        <v>0.192</v>
      </c>
      <c r="F97" s="836"/>
      <c r="G97" s="837">
        <f>E97*F97</f>
        <v>0</v>
      </c>
    </row>
    <row r="98" spans="1:7" s="835" customFormat="1" x14ac:dyDescent="0.25">
      <c r="A98" s="817" t="s">
        <v>1329</v>
      </c>
      <c r="B98" s="992"/>
      <c r="C98" s="993" t="s">
        <v>494</v>
      </c>
      <c r="D98" s="994"/>
      <c r="E98" s="995"/>
      <c r="F98" s="995"/>
      <c r="G98" s="996"/>
    </row>
    <row r="99" spans="1:7" s="835" customFormat="1" ht="303.60000000000002" x14ac:dyDescent="0.25">
      <c r="A99" s="817" t="s">
        <v>1333</v>
      </c>
      <c r="B99" s="629"/>
      <c r="C99" s="568" t="s">
        <v>495</v>
      </c>
      <c r="E99" s="836"/>
      <c r="F99" s="836"/>
      <c r="G99" s="837"/>
    </row>
    <row r="100" spans="1:7" s="835" customFormat="1" ht="26.4" x14ac:dyDescent="0.25">
      <c r="A100" s="817" t="s">
        <v>696</v>
      </c>
      <c r="B100" s="629" t="s">
        <v>285</v>
      </c>
      <c r="C100" s="568" t="s">
        <v>2573</v>
      </c>
      <c r="D100" s="835" t="s">
        <v>26</v>
      </c>
      <c r="E100" s="836">
        <v>2</v>
      </c>
      <c r="F100" s="836"/>
      <c r="G100" s="837">
        <f t="shared" ref="G100:G106" si="2">E100*F100</f>
        <v>0</v>
      </c>
    </row>
    <row r="101" spans="1:7" s="835" customFormat="1" ht="79.2" x14ac:dyDescent="0.25">
      <c r="A101" s="817" t="s">
        <v>1348</v>
      </c>
      <c r="B101" s="629" t="s">
        <v>285</v>
      </c>
      <c r="C101" s="819" t="s">
        <v>2574</v>
      </c>
      <c r="D101" s="835" t="s">
        <v>26</v>
      </c>
      <c r="E101" s="836">
        <v>18</v>
      </c>
      <c r="F101" s="836"/>
      <c r="G101" s="837">
        <f t="shared" si="2"/>
        <v>0</v>
      </c>
    </row>
    <row r="102" spans="1:7" s="835" customFormat="1" ht="66" x14ac:dyDescent="0.25">
      <c r="A102" s="817" t="s">
        <v>1353</v>
      </c>
      <c r="B102" s="629" t="s">
        <v>285</v>
      </c>
      <c r="C102" s="568" t="s">
        <v>2575</v>
      </c>
      <c r="D102" s="835" t="s">
        <v>26</v>
      </c>
      <c r="E102" s="836">
        <v>2</v>
      </c>
      <c r="F102" s="836"/>
      <c r="G102" s="837">
        <f t="shared" si="2"/>
        <v>0</v>
      </c>
    </row>
    <row r="103" spans="1:7" s="835" customFormat="1" ht="14.4" customHeight="1" x14ac:dyDescent="0.25">
      <c r="A103" s="817" t="s">
        <v>1358</v>
      </c>
      <c r="B103" s="847"/>
      <c r="C103" s="568" t="s">
        <v>496</v>
      </c>
      <c r="D103" s="838" t="s">
        <v>26</v>
      </c>
      <c r="E103" s="843">
        <v>1</v>
      </c>
      <c r="F103" s="843"/>
      <c r="G103" s="837">
        <f t="shared" si="2"/>
        <v>0</v>
      </c>
    </row>
    <row r="104" spans="1:7" s="835" customFormat="1" x14ac:dyDescent="0.25">
      <c r="A104" s="817" t="s">
        <v>1363</v>
      </c>
      <c r="B104" s="630"/>
      <c r="C104" s="568" t="s">
        <v>497</v>
      </c>
      <c r="D104" s="838" t="s">
        <v>26</v>
      </c>
      <c r="E104" s="843">
        <v>1</v>
      </c>
      <c r="F104" s="843"/>
      <c r="G104" s="837">
        <f t="shared" si="2"/>
        <v>0</v>
      </c>
    </row>
    <row r="105" spans="1:7" s="835" customFormat="1" ht="26.4" x14ac:dyDescent="0.25">
      <c r="A105" s="817" t="s">
        <v>1367</v>
      </c>
      <c r="B105" s="630"/>
      <c r="C105" s="568" t="s">
        <v>498</v>
      </c>
      <c r="D105" s="838" t="s">
        <v>26</v>
      </c>
      <c r="E105" s="843">
        <v>1</v>
      </c>
      <c r="F105" s="843"/>
      <c r="G105" s="837">
        <f t="shared" si="2"/>
        <v>0</v>
      </c>
    </row>
    <row r="106" spans="1:7" s="835" customFormat="1" x14ac:dyDescent="0.25">
      <c r="A106" s="817" t="s">
        <v>1375</v>
      </c>
      <c r="B106" s="629"/>
      <c r="C106" s="634" t="s">
        <v>499</v>
      </c>
      <c r="D106" s="838" t="s">
        <v>26</v>
      </c>
      <c r="E106" s="843">
        <v>2</v>
      </c>
      <c r="F106" s="843"/>
      <c r="G106" s="837">
        <f t="shared" si="2"/>
        <v>0</v>
      </c>
    </row>
    <row r="107" spans="1:7" s="835" customFormat="1" x14ac:dyDescent="0.25">
      <c r="A107" s="817" t="s">
        <v>1381</v>
      </c>
      <c r="B107" s="1007"/>
      <c r="C107" s="1010" t="s">
        <v>500</v>
      </c>
      <c r="D107" s="1008"/>
      <c r="E107" s="1006"/>
      <c r="F107" s="1006"/>
      <c r="G107" s="1009"/>
    </row>
    <row r="108" spans="1:7" s="835" customFormat="1" ht="66" x14ac:dyDescent="0.25">
      <c r="A108" s="817" t="s">
        <v>1386</v>
      </c>
      <c r="B108" s="629" t="s">
        <v>285</v>
      </c>
      <c r="C108" s="568" t="s">
        <v>501</v>
      </c>
      <c r="D108" s="838" t="s">
        <v>26</v>
      </c>
      <c r="E108" s="843">
        <v>1</v>
      </c>
      <c r="F108" s="843"/>
      <c r="G108" s="837">
        <f>E108*F108</f>
        <v>0</v>
      </c>
    </row>
    <row r="109" spans="1:7" s="835" customFormat="1" ht="39.6" x14ac:dyDescent="0.25">
      <c r="A109" s="817" t="s">
        <v>1391</v>
      </c>
      <c r="B109" s="629"/>
      <c r="C109" s="568" t="s">
        <v>502</v>
      </c>
      <c r="D109" s="838" t="s">
        <v>26</v>
      </c>
      <c r="E109" s="843">
        <v>1</v>
      </c>
      <c r="F109" s="843"/>
      <c r="G109" s="837">
        <f>E109*F109</f>
        <v>0</v>
      </c>
    </row>
    <row r="110" spans="1:7" s="835" customFormat="1" ht="26.4" x14ac:dyDescent="0.25">
      <c r="A110" s="817" t="s">
        <v>1399</v>
      </c>
      <c r="B110" s="629" t="s">
        <v>285</v>
      </c>
      <c r="C110" s="568" t="s">
        <v>503</v>
      </c>
      <c r="D110" s="838" t="s">
        <v>26</v>
      </c>
      <c r="E110" s="843">
        <v>1</v>
      </c>
      <c r="F110" s="843"/>
      <c r="G110" s="837">
        <f>E110*F110</f>
        <v>0</v>
      </c>
    </row>
    <row r="111" spans="1:7" s="835" customFormat="1" ht="26.4" x14ac:dyDescent="0.25">
      <c r="A111" s="817" t="s">
        <v>1404</v>
      </c>
      <c r="B111" s="630"/>
      <c r="C111" s="568" t="s">
        <v>2576</v>
      </c>
      <c r="D111" s="838"/>
      <c r="E111" s="843"/>
      <c r="F111" s="843"/>
      <c r="G111" s="846"/>
    </row>
    <row r="112" spans="1:7" s="835" customFormat="1" ht="39.6" x14ac:dyDescent="0.25">
      <c r="A112" s="817" t="s">
        <v>1409</v>
      </c>
      <c r="B112" s="629"/>
      <c r="C112" s="568" t="s">
        <v>2577</v>
      </c>
      <c r="E112" s="836"/>
      <c r="F112" s="836"/>
      <c r="G112" s="846"/>
    </row>
    <row r="113" spans="1:8" s="835" customFormat="1" ht="39.6" x14ac:dyDescent="0.25">
      <c r="A113" s="817" t="s">
        <v>1414</v>
      </c>
      <c r="B113" s="629"/>
      <c r="C113" s="568" t="s">
        <v>2578</v>
      </c>
      <c r="E113" s="836"/>
      <c r="F113" s="836"/>
      <c r="G113" s="846"/>
    </row>
    <row r="114" spans="1:8" s="835" customFormat="1" ht="26.4" x14ac:dyDescent="0.25">
      <c r="A114" s="817" t="s">
        <v>1419</v>
      </c>
      <c r="B114" s="629" t="s">
        <v>285</v>
      </c>
      <c r="C114" s="568" t="s">
        <v>2579</v>
      </c>
      <c r="D114" s="835" t="s">
        <v>15</v>
      </c>
      <c r="E114" s="836">
        <f>2.35+5.35</f>
        <v>7.6999999999999993</v>
      </c>
      <c r="F114" s="836"/>
      <c r="G114" s="837">
        <f>E114*F114</f>
        <v>0</v>
      </c>
    </row>
    <row r="115" spans="1:8" s="835" customFormat="1" ht="26.4" x14ac:dyDescent="0.25">
      <c r="A115" s="817" t="s">
        <v>1424</v>
      </c>
      <c r="B115" s="629" t="s">
        <v>285</v>
      </c>
      <c r="C115" s="568" t="s">
        <v>2580</v>
      </c>
      <c r="D115" s="848" t="s">
        <v>15</v>
      </c>
      <c r="E115" s="849">
        <f>3.85+(16.33-5.3)</f>
        <v>14.879999999999997</v>
      </c>
      <c r="F115" s="849"/>
      <c r="G115" s="837">
        <f>E115*F115</f>
        <v>0</v>
      </c>
    </row>
    <row r="116" spans="1:8" s="835" customFormat="1" x14ac:dyDescent="0.25">
      <c r="A116" s="817" t="s">
        <v>1433</v>
      </c>
      <c r="B116" s="629" t="s">
        <v>285</v>
      </c>
      <c r="C116" s="568" t="s">
        <v>2581</v>
      </c>
      <c r="D116" s="835" t="s">
        <v>308</v>
      </c>
      <c r="E116" s="836">
        <v>1</v>
      </c>
      <c r="F116" s="836"/>
      <c r="G116" s="837">
        <f>E116*F116</f>
        <v>0</v>
      </c>
    </row>
    <row r="117" spans="1:8" s="835" customFormat="1" x14ac:dyDescent="0.25">
      <c r="A117" s="817" t="s">
        <v>1438</v>
      </c>
      <c r="B117" s="629" t="s">
        <v>285</v>
      </c>
      <c r="C117" s="568" t="s">
        <v>504</v>
      </c>
      <c r="D117" s="835" t="s">
        <v>308</v>
      </c>
      <c r="E117" s="836">
        <v>1</v>
      </c>
      <c r="F117" s="836"/>
      <c r="G117" s="837">
        <f>E117*F117</f>
        <v>0</v>
      </c>
    </row>
    <row r="118" spans="1:8" s="835" customFormat="1" x14ac:dyDescent="0.25">
      <c r="A118" s="817" t="s">
        <v>1443</v>
      </c>
      <c r="B118" s="629"/>
      <c r="C118" s="568" t="s">
        <v>505</v>
      </c>
      <c r="E118" s="836"/>
      <c r="F118" s="836"/>
      <c r="G118" s="837"/>
    </row>
    <row r="119" spans="1:8" s="835" customFormat="1" x14ac:dyDescent="0.25">
      <c r="A119" s="817" t="s">
        <v>1448</v>
      </c>
      <c r="B119" s="1007"/>
      <c r="C119" s="993" t="s">
        <v>506</v>
      </c>
      <c r="D119" s="1008"/>
      <c r="E119" s="1006"/>
      <c r="F119" s="1006"/>
      <c r="G119" s="1009"/>
    </row>
    <row r="120" spans="1:8" s="835" customFormat="1" ht="224.4" x14ac:dyDescent="0.25">
      <c r="A120" s="817" t="s">
        <v>1453</v>
      </c>
      <c r="B120" s="629" t="s">
        <v>285</v>
      </c>
      <c r="C120" s="568" t="s">
        <v>2582</v>
      </c>
      <c r="D120" s="835" t="s">
        <v>26</v>
      </c>
      <c r="E120" s="843">
        <v>1</v>
      </c>
      <c r="F120" s="843"/>
      <c r="G120" s="837">
        <f>E120*F120</f>
        <v>0</v>
      </c>
    </row>
    <row r="121" spans="1:8" s="835" customFormat="1" ht="26.4" x14ac:dyDescent="0.25">
      <c r="A121" s="817" t="s">
        <v>1458</v>
      </c>
      <c r="B121" s="629" t="s">
        <v>285</v>
      </c>
      <c r="C121" s="850" t="s">
        <v>2583</v>
      </c>
      <c r="D121" s="848" t="s">
        <v>26</v>
      </c>
      <c r="E121" s="849">
        <v>24</v>
      </c>
      <c r="F121" s="849"/>
      <c r="G121" s="851">
        <f>ROUND(F121*E121,2)</f>
        <v>0</v>
      </c>
      <c r="H121" s="852"/>
    </row>
    <row r="122" spans="1:8" s="835" customFormat="1" ht="39.6" x14ac:dyDescent="0.25">
      <c r="A122" s="817" t="s">
        <v>1463</v>
      </c>
      <c r="B122" s="629" t="s">
        <v>285</v>
      </c>
      <c r="C122" s="853" t="s">
        <v>2584</v>
      </c>
      <c r="D122" s="854" t="s">
        <v>28</v>
      </c>
      <c r="E122" s="855">
        <f>3.4*4</f>
        <v>13.6</v>
      </c>
      <c r="F122" s="855"/>
      <c r="G122" s="851">
        <f>ROUND(F122*E122,2)</f>
        <v>0</v>
      </c>
      <c r="H122" s="856"/>
    </row>
    <row r="123" spans="1:8" s="835" customFormat="1" ht="16.8" customHeight="1" x14ac:dyDescent="0.25">
      <c r="A123" s="817" t="s">
        <v>1470</v>
      </c>
      <c r="B123" s="992"/>
      <c r="C123" s="993" t="s">
        <v>507</v>
      </c>
      <c r="D123" s="994"/>
      <c r="E123" s="1006"/>
      <c r="F123" s="1006"/>
      <c r="G123" s="1009"/>
    </row>
    <row r="124" spans="1:8" s="835" customFormat="1" ht="52.8" x14ac:dyDescent="0.25">
      <c r="A124" s="817" t="s">
        <v>1476</v>
      </c>
      <c r="B124" s="629"/>
      <c r="C124" s="819" t="s">
        <v>508</v>
      </c>
      <c r="E124" s="843"/>
      <c r="F124" s="843"/>
      <c r="G124" s="846"/>
    </row>
    <row r="125" spans="1:8" s="835" customFormat="1" ht="79.2" x14ac:dyDescent="0.25">
      <c r="A125" s="817" t="s">
        <v>1480</v>
      </c>
      <c r="B125" s="629" t="s">
        <v>285</v>
      </c>
      <c r="C125" s="568" t="s">
        <v>2585</v>
      </c>
      <c r="D125" s="857" t="s">
        <v>2</v>
      </c>
      <c r="E125" s="858">
        <f>4.72*0.54*1.5</f>
        <v>3.8231999999999999</v>
      </c>
      <c r="F125" s="858"/>
      <c r="G125" s="837">
        <f>E125*F125</f>
        <v>0</v>
      </c>
    </row>
    <row r="126" spans="1:8" s="835" customFormat="1" ht="79.2" x14ac:dyDescent="0.25">
      <c r="A126" s="817" t="s">
        <v>1485</v>
      </c>
      <c r="B126" s="629" t="s">
        <v>285</v>
      </c>
      <c r="C126" s="568" t="s">
        <v>2586</v>
      </c>
      <c r="D126" s="835" t="s">
        <v>51</v>
      </c>
      <c r="E126" s="843">
        <f>(4.35*0.75+0.36*(4.35*2+0.75*2))*12</f>
        <v>83.213999999999999</v>
      </c>
      <c r="F126" s="843"/>
      <c r="G126" s="837">
        <f>E126*F126</f>
        <v>0</v>
      </c>
    </row>
    <row r="127" spans="1:8" s="835" customFormat="1" ht="118.8" x14ac:dyDescent="0.25">
      <c r="A127" s="817" t="s">
        <v>1489</v>
      </c>
      <c r="B127" s="629" t="s">
        <v>285</v>
      </c>
      <c r="C127" s="568" t="s">
        <v>2587</v>
      </c>
      <c r="D127" s="835" t="s">
        <v>26</v>
      </c>
      <c r="E127" s="843">
        <v>5</v>
      </c>
      <c r="F127" s="843"/>
      <c r="G127" s="837">
        <f>E127*F127</f>
        <v>0</v>
      </c>
    </row>
    <row r="128" spans="1:8" s="835" customFormat="1" ht="105.6" x14ac:dyDescent="0.25">
      <c r="A128" s="817" t="s">
        <v>1494</v>
      </c>
      <c r="B128" s="629" t="s">
        <v>285</v>
      </c>
      <c r="C128" s="568" t="s">
        <v>2588</v>
      </c>
      <c r="D128" s="835" t="s">
        <v>51</v>
      </c>
      <c r="E128" s="843">
        <f>((2.1*5*2+4.34*4+0.3*12)*4.1+(0.2*15+0.2*10)*3.25+(0.75*2+4.34*2)*3.25)*1.1</f>
        <v>243.50810000000004</v>
      </c>
      <c r="F128" s="843"/>
      <c r="G128" s="837">
        <f>E128*F128</f>
        <v>0</v>
      </c>
    </row>
    <row r="129" spans="1:7" s="835" customFormat="1" ht="66" x14ac:dyDescent="0.25">
      <c r="A129" s="817" t="s">
        <v>1498</v>
      </c>
      <c r="B129" s="629" t="s">
        <v>285</v>
      </c>
      <c r="C129" s="568" t="s">
        <v>509</v>
      </c>
      <c r="D129" s="838"/>
      <c r="E129" s="843"/>
      <c r="F129" s="843"/>
      <c r="G129" s="846"/>
    </row>
    <row r="130" spans="1:7" s="835" customFormat="1" ht="39.6" x14ac:dyDescent="0.25">
      <c r="A130" s="817" t="s">
        <v>1505</v>
      </c>
      <c r="B130" s="629" t="s">
        <v>285</v>
      </c>
      <c r="C130" s="568" t="s">
        <v>2589</v>
      </c>
      <c r="D130" s="857" t="s">
        <v>51</v>
      </c>
      <c r="E130" s="858">
        <f>0.6*12*7.01</f>
        <v>50.471999999999994</v>
      </c>
      <c r="F130" s="858"/>
      <c r="G130" s="837">
        <f t="shared" ref="G130:G135" si="3">E130*F130</f>
        <v>0</v>
      </c>
    </row>
    <row r="131" spans="1:7" s="835" customFormat="1" ht="26.4" x14ac:dyDescent="0.25">
      <c r="A131" s="817" t="s">
        <v>1509</v>
      </c>
      <c r="B131" s="629" t="s">
        <v>285</v>
      </c>
      <c r="C131" s="568" t="s">
        <v>2590</v>
      </c>
      <c r="D131" s="857" t="s">
        <v>15</v>
      </c>
      <c r="E131" s="858">
        <f>(4.72+0.2*2+0.54*2)*0.2</f>
        <v>1.2400000000000002</v>
      </c>
      <c r="F131" s="858"/>
      <c r="G131" s="837">
        <f t="shared" si="3"/>
        <v>0</v>
      </c>
    </row>
    <row r="132" spans="1:7" s="835" customFormat="1" ht="52.8" x14ac:dyDescent="0.25">
      <c r="A132" s="817" t="s">
        <v>1512</v>
      </c>
      <c r="B132" s="629" t="s">
        <v>285</v>
      </c>
      <c r="C132" s="568" t="s">
        <v>2591</v>
      </c>
      <c r="D132" s="857" t="s">
        <v>2</v>
      </c>
      <c r="E132" s="858">
        <f>0.4*0.5*0.8*5+4.72*0.54*0.4</f>
        <v>1.8195200000000002</v>
      </c>
      <c r="F132" s="858"/>
      <c r="G132" s="837">
        <f t="shared" si="3"/>
        <v>0</v>
      </c>
    </row>
    <row r="133" spans="1:7" s="835" customFormat="1" ht="26.4" x14ac:dyDescent="0.25">
      <c r="A133" s="817" t="s">
        <v>1515</v>
      </c>
      <c r="B133" s="629"/>
      <c r="C133" s="568" t="s">
        <v>2592</v>
      </c>
      <c r="D133" s="857" t="s">
        <v>2</v>
      </c>
      <c r="E133" s="858">
        <f>0.4*0.5*0.8*5+4.72*0.54*0.4+0.4*0.54*0.1*5+4.72*0.54*0.2</f>
        <v>2.4372800000000003</v>
      </c>
      <c r="F133" s="858"/>
      <c r="G133" s="837">
        <f t="shared" si="3"/>
        <v>0</v>
      </c>
    </row>
    <row r="134" spans="1:7" s="835" customFormat="1" ht="26.4" x14ac:dyDescent="0.25">
      <c r="A134" s="817" t="s">
        <v>1518</v>
      </c>
      <c r="B134" s="629" t="s">
        <v>285</v>
      </c>
      <c r="C134" s="568" t="s">
        <v>2593</v>
      </c>
      <c r="D134" s="857" t="s">
        <v>26</v>
      </c>
      <c r="E134" s="858">
        <v>5</v>
      </c>
      <c r="F134" s="858"/>
      <c r="G134" s="837">
        <f t="shared" si="3"/>
        <v>0</v>
      </c>
    </row>
    <row r="135" spans="1:7" s="835" customFormat="1" ht="26.4" x14ac:dyDescent="0.25">
      <c r="A135" s="817" t="s">
        <v>1532</v>
      </c>
      <c r="B135" s="629"/>
      <c r="C135" s="568" t="s">
        <v>2594</v>
      </c>
      <c r="D135" s="835" t="s">
        <v>28</v>
      </c>
      <c r="E135" s="836">
        <v>7.2</v>
      </c>
      <c r="F135" s="836"/>
      <c r="G135" s="837">
        <f t="shared" si="3"/>
        <v>0</v>
      </c>
    </row>
    <row r="136" spans="1:7" s="835" customFormat="1" ht="19.8" customHeight="1" x14ac:dyDescent="0.25">
      <c r="A136" s="817" t="s">
        <v>1537</v>
      </c>
      <c r="B136" s="992"/>
      <c r="C136" s="993" t="s">
        <v>510</v>
      </c>
      <c r="D136" s="994"/>
      <c r="E136" s="1006"/>
      <c r="F136" s="1006"/>
      <c r="G136" s="1009"/>
    </row>
    <row r="137" spans="1:7" s="835" customFormat="1" ht="52.8" x14ac:dyDescent="0.25">
      <c r="A137" s="817" t="s">
        <v>1543</v>
      </c>
      <c r="B137" s="629"/>
      <c r="C137" s="819" t="s">
        <v>511</v>
      </c>
      <c r="E137" s="843"/>
      <c r="F137" s="843"/>
      <c r="G137" s="846"/>
    </row>
    <row r="138" spans="1:7" s="835" customFormat="1" ht="79.2" x14ac:dyDescent="0.25">
      <c r="A138" s="817" t="s">
        <v>1548</v>
      </c>
      <c r="B138" s="629" t="s">
        <v>285</v>
      </c>
      <c r="C138" s="568" t="s">
        <v>2595</v>
      </c>
      <c r="D138" s="857" t="s">
        <v>2</v>
      </c>
      <c r="E138" s="858">
        <f>2.08*0.5*1.45</f>
        <v>1.508</v>
      </c>
      <c r="F138" s="858"/>
      <c r="G138" s="837">
        <f>E138*F138</f>
        <v>0</v>
      </c>
    </row>
    <row r="139" spans="1:7" s="835" customFormat="1" ht="79.2" x14ac:dyDescent="0.25">
      <c r="A139" s="817" t="s">
        <v>1553</v>
      </c>
      <c r="B139" s="629" t="s">
        <v>285</v>
      </c>
      <c r="C139" s="568" t="s">
        <v>2596</v>
      </c>
      <c r="D139" s="835" t="s">
        <v>51</v>
      </c>
      <c r="E139" s="835">
        <f>(1.7*0.7+0.28*(1.7*2+0.7*2))*12</f>
        <v>30.407999999999998</v>
      </c>
      <c r="G139" s="835">
        <f>E139*F139</f>
        <v>0</v>
      </c>
    </row>
    <row r="140" spans="1:7" s="835" customFormat="1" ht="105.6" x14ac:dyDescent="0.25">
      <c r="A140" s="817" t="s">
        <v>1558</v>
      </c>
      <c r="B140" s="629" t="s">
        <v>285</v>
      </c>
      <c r="C140" s="568" t="s">
        <v>2597</v>
      </c>
      <c r="D140" s="835" t="s">
        <v>26</v>
      </c>
      <c r="E140" s="843">
        <v>2</v>
      </c>
      <c r="F140" s="843"/>
      <c r="G140" s="837">
        <f>E140*F140</f>
        <v>0</v>
      </c>
    </row>
    <row r="141" spans="1:7" s="835" customFormat="1" ht="105.6" x14ac:dyDescent="0.25">
      <c r="A141" s="817" t="s">
        <v>1563</v>
      </c>
      <c r="B141" s="629" t="s">
        <v>285</v>
      </c>
      <c r="C141" s="568" t="s">
        <v>2598</v>
      </c>
      <c r="D141" s="835" t="s">
        <v>51</v>
      </c>
      <c r="E141" s="843">
        <f>((2.1*3*2+2.08*4+0.3*6)*4.1+(0.2*10)*3.25+(0.7*2+2.08*2)*3.25)*1.1</f>
        <v>129.49420000000001</v>
      </c>
      <c r="F141" s="843"/>
      <c r="G141" s="837">
        <f>E141*F141</f>
        <v>0</v>
      </c>
    </row>
    <row r="142" spans="1:7" s="835" customFormat="1" ht="66" x14ac:dyDescent="0.25">
      <c r="A142" s="817" t="s">
        <v>1568</v>
      </c>
      <c r="B142" s="629" t="s">
        <v>285</v>
      </c>
      <c r="C142" s="568" t="s">
        <v>509</v>
      </c>
      <c r="D142" s="838"/>
      <c r="E142" s="843"/>
      <c r="F142" s="843"/>
      <c r="G142" s="846"/>
    </row>
    <row r="143" spans="1:7" s="835" customFormat="1" ht="39.6" x14ac:dyDescent="0.25">
      <c r="A143" s="817" t="s">
        <v>1574</v>
      </c>
      <c r="B143" s="629" t="s">
        <v>285</v>
      </c>
      <c r="C143" s="568" t="s">
        <v>2589</v>
      </c>
      <c r="D143" s="857" t="s">
        <v>51</v>
      </c>
      <c r="E143" s="858">
        <f>0.6*5*7.01</f>
        <v>21.03</v>
      </c>
      <c r="F143" s="858"/>
      <c r="G143" s="837">
        <f>E143*F143</f>
        <v>0</v>
      </c>
    </row>
    <row r="144" spans="1:7" s="835" customFormat="1" ht="26.4" x14ac:dyDescent="0.25">
      <c r="A144" s="817" t="s">
        <v>1582</v>
      </c>
      <c r="B144" s="629" t="s">
        <v>285</v>
      </c>
      <c r="C144" s="568" t="s">
        <v>2599</v>
      </c>
      <c r="D144" s="857" t="s">
        <v>15</v>
      </c>
      <c r="E144" s="858">
        <f>(2.08+0.2*2+0.5*2)*0.2</f>
        <v>0.69600000000000006</v>
      </c>
      <c r="F144" s="858"/>
      <c r="G144" s="837">
        <f>E144*F144</f>
        <v>0</v>
      </c>
    </row>
    <row r="145" spans="1:7" s="835" customFormat="1" ht="52.8" x14ac:dyDescent="0.25">
      <c r="A145" s="817" t="s">
        <v>1587</v>
      </c>
      <c r="B145" s="629" t="s">
        <v>285</v>
      </c>
      <c r="C145" s="568" t="s">
        <v>2600</v>
      </c>
      <c r="D145" s="857" t="s">
        <v>2</v>
      </c>
      <c r="E145" s="858">
        <f>0.4*0.5*0.8*3+2.08*0.5*0.4</f>
        <v>0.89600000000000013</v>
      </c>
      <c r="F145" s="858"/>
      <c r="G145" s="837">
        <f>E145*F145</f>
        <v>0</v>
      </c>
    </row>
    <row r="146" spans="1:7" s="835" customFormat="1" ht="26.4" x14ac:dyDescent="0.25">
      <c r="A146" s="817" t="s">
        <v>1592</v>
      </c>
      <c r="B146" s="629"/>
      <c r="C146" s="568" t="s">
        <v>2601</v>
      </c>
      <c r="D146" s="857" t="s">
        <v>2</v>
      </c>
      <c r="E146" s="858">
        <f>0.4*0.5*0.8*3+2.08*0.5*0.4+0.4*0.5*0.1*3+2.08*0.5*0.2</f>
        <v>1.1640000000000001</v>
      </c>
      <c r="F146" s="858"/>
      <c r="G146" s="837">
        <f>E146*F146</f>
        <v>0</v>
      </c>
    </row>
    <row r="147" spans="1:7" s="835" customFormat="1" ht="26.4" x14ac:dyDescent="0.25">
      <c r="A147" s="817" t="s">
        <v>1598</v>
      </c>
      <c r="B147" s="629" t="s">
        <v>285</v>
      </c>
      <c r="C147" s="568" t="s">
        <v>2593</v>
      </c>
      <c r="D147" s="857" t="s">
        <v>26</v>
      </c>
      <c r="E147" s="858">
        <v>2</v>
      </c>
      <c r="F147" s="858"/>
      <c r="G147" s="837">
        <f>E147*F147</f>
        <v>0</v>
      </c>
    </row>
    <row r="148" spans="1:7" s="835" customFormat="1" ht="19.8" customHeight="1" x14ac:dyDescent="0.25">
      <c r="A148" s="817" t="s">
        <v>1603</v>
      </c>
      <c r="B148" s="992"/>
      <c r="C148" s="993" t="s">
        <v>512</v>
      </c>
      <c r="D148" s="994"/>
      <c r="E148" s="995"/>
      <c r="F148" s="995"/>
      <c r="G148" s="996"/>
    </row>
    <row r="149" spans="1:7" s="835" customFormat="1" ht="105.6" x14ac:dyDescent="0.25">
      <c r="A149" s="817" t="s">
        <v>1609</v>
      </c>
      <c r="B149" s="629" t="s">
        <v>285</v>
      </c>
      <c r="C149" s="819" t="s">
        <v>513</v>
      </c>
      <c r="D149" s="835" t="s">
        <v>51</v>
      </c>
      <c r="E149" s="836">
        <v>350</v>
      </c>
      <c r="F149" s="836"/>
      <c r="G149" s="837">
        <f>E149*F149</f>
        <v>0</v>
      </c>
    </row>
    <row r="150" spans="1:7" s="835" customFormat="1" x14ac:dyDescent="0.25">
      <c r="A150" s="817" t="s">
        <v>2184</v>
      </c>
      <c r="B150" s="629" t="s">
        <v>285</v>
      </c>
      <c r="C150" s="568" t="s">
        <v>2602</v>
      </c>
      <c r="E150" s="836"/>
      <c r="F150" s="836"/>
      <c r="G150" s="837"/>
    </row>
    <row r="151" spans="1:7" s="835" customFormat="1" x14ac:dyDescent="0.25">
      <c r="A151" s="817" t="s">
        <v>2185</v>
      </c>
      <c r="B151" s="629" t="s">
        <v>285</v>
      </c>
      <c r="C151" s="568" t="s">
        <v>514</v>
      </c>
      <c r="E151" s="836"/>
      <c r="F151" s="836"/>
      <c r="G151" s="837"/>
    </row>
    <row r="152" spans="1:7" s="835" customFormat="1" x14ac:dyDescent="0.25">
      <c r="A152" s="817" t="s">
        <v>2186</v>
      </c>
      <c r="B152" s="629" t="s">
        <v>285</v>
      </c>
      <c r="C152" s="859" t="s">
        <v>2603</v>
      </c>
      <c r="E152" s="836"/>
      <c r="F152" s="836"/>
      <c r="G152" s="837"/>
    </row>
    <row r="153" spans="1:7" s="835" customFormat="1" ht="26.4" x14ac:dyDescent="0.25">
      <c r="A153" s="817" t="s">
        <v>2187</v>
      </c>
      <c r="B153" s="629" t="s">
        <v>285</v>
      </c>
      <c r="C153" s="568" t="s">
        <v>515</v>
      </c>
      <c r="E153" s="836"/>
      <c r="F153" s="836"/>
      <c r="G153" s="837"/>
    </row>
    <row r="154" spans="1:7" s="835" customFormat="1" x14ac:dyDescent="0.25">
      <c r="A154" s="817" t="s">
        <v>2188</v>
      </c>
      <c r="B154" s="629" t="s">
        <v>285</v>
      </c>
      <c r="C154" s="860" t="s">
        <v>2550</v>
      </c>
      <c r="E154" s="836"/>
      <c r="F154" s="836"/>
      <c r="G154" s="837"/>
    </row>
    <row r="155" spans="1:7" s="835" customFormat="1" x14ac:dyDescent="0.25">
      <c r="A155" s="817" t="s">
        <v>2189</v>
      </c>
      <c r="B155" s="629" t="s">
        <v>285</v>
      </c>
      <c r="C155" s="568" t="s">
        <v>516</v>
      </c>
      <c r="E155" s="836"/>
      <c r="F155" s="836"/>
      <c r="G155" s="837"/>
    </row>
    <row r="156" spans="1:7" s="835" customFormat="1" x14ac:dyDescent="0.25">
      <c r="A156" s="817" t="s">
        <v>2190</v>
      </c>
      <c r="B156" s="629" t="s">
        <v>285</v>
      </c>
      <c r="C156" s="568" t="s">
        <v>517</v>
      </c>
      <c r="E156" s="836"/>
      <c r="F156" s="836"/>
      <c r="G156" s="837"/>
    </row>
    <row r="157" spans="1:7" s="835" customFormat="1" x14ac:dyDescent="0.25">
      <c r="A157" s="817" t="s">
        <v>2191</v>
      </c>
      <c r="B157" s="629" t="s">
        <v>285</v>
      </c>
      <c r="C157" s="568" t="s">
        <v>518</v>
      </c>
      <c r="E157" s="836"/>
      <c r="F157" s="836"/>
      <c r="G157" s="837"/>
    </row>
    <row r="158" spans="1:7" s="835" customFormat="1" ht="26.4" x14ac:dyDescent="0.25">
      <c r="A158" s="817" t="s">
        <v>2192</v>
      </c>
      <c r="B158" s="629" t="s">
        <v>285</v>
      </c>
      <c r="C158" s="568" t="s">
        <v>519</v>
      </c>
      <c r="E158" s="836"/>
      <c r="F158" s="836"/>
      <c r="G158" s="837"/>
    </row>
    <row r="159" spans="1:7" s="835" customFormat="1" ht="26.4" x14ac:dyDescent="0.25">
      <c r="A159" s="817" t="s">
        <v>2193</v>
      </c>
      <c r="B159" s="629" t="s">
        <v>285</v>
      </c>
      <c r="C159" s="568" t="s">
        <v>2604</v>
      </c>
      <c r="E159" s="836"/>
      <c r="F159" s="836"/>
      <c r="G159" s="837"/>
    </row>
    <row r="160" spans="1:7" s="835" customFormat="1" x14ac:dyDescent="0.25">
      <c r="A160" s="817" t="s">
        <v>2194</v>
      </c>
      <c r="B160" s="629" t="s">
        <v>285</v>
      </c>
      <c r="C160" s="568" t="s">
        <v>520</v>
      </c>
      <c r="E160" s="836"/>
      <c r="F160" s="836"/>
      <c r="G160" s="837"/>
    </row>
    <row r="161" spans="1:7" s="835" customFormat="1" ht="26.4" x14ac:dyDescent="0.25">
      <c r="A161" s="817" t="s">
        <v>2195</v>
      </c>
      <c r="B161" s="629" t="s">
        <v>285</v>
      </c>
      <c r="C161" s="568" t="s">
        <v>521</v>
      </c>
      <c r="E161" s="836"/>
      <c r="F161" s="836"/>
      <c r="G161" s="837"/>
    </row>
    <row r="162" spans="1:7" s="835" customFormat="1" ht="26.4" x14ac:dyDescent="0.25">
      <c r="A162" s="817" t="s">
        <v>2196</v>
      </c>
      <c r="B162" s="629" t="s">
        <v>285</v>
      </c>
      <c r="C162" s="568" t="s">
        <v>2605</v>
      </c>
      <c r="D162" s="835" t="s">
        <v>26</v>
      </c>
      <c r="E162" s="836">
        <v>4</v>
      </c>
      <c r="F162" s="836"/>
      <c r="G162" s="837">
        <f>E162*F162</f>
        <v>0</v>
      </c>
    </row>
    <row r="163" spans="1:7" s="835" customFormat="1" ht="26.4" x14ac:dyDescent="0.25">
      <c r="A163" s="817" t="s">
        <v>2197</v>
      </c>
      <c r="B163" s="629" t="s">
        <v>285</v>
      </c>
      <c r="C163" s="568" t="s">
        <v>2606</v>
      </c>
      <c r="D163" s="835" t="s">
        <v>26</v>
      </c>
      <c r="E163" s="836">
        <v>1</v>
      </c>
      <c r="F163" s="836"/>
      <c r="G163" s="837">
        <f>E163*F163</f>
        <v>0</v>
      </c>
    </row>
    <row r="164" spans="1:7" s="835" customFormat="1" ht="39.6" x14ac:dyDescent="0.25">
      <c r="A164" s="817" t="s">
        <v>2198</v>
      </c>
      <c r="B164" s="629" t="s">
        <v>285</v>
      </c>
      <c r="C164" s="568" t="s">
        <v>2607</v>
      </c>
      <c r="D164" s="835" t="s">
        <v>2</v>
      </c>
      <c r="E164" s="836">
        <f>1.3*1.3*1.2</f>
        <v>2.028</v>
      </c>
      <c r="F164" s="836"/>
      <c r="G164" s="837">
        <f>E164*F164</f>
        <v>0</v>
      </c>
    </row>
    <row r="165" spans="1:7" s="835" customFormat="1" ht="26.4" x14ac:dyDescent="0.25">
      <c r="A165" s="817" t="s">
        <v>2199</v>
      </c>
      <c r="B165" s="629" t="s">
        <v>285</v>
      </c>
      <c r="C165" s="568" t="s">
        <v>2608</v>
      </c>
      <c r="D165" s="857" t="s">
        <v>2</v>
      </c>
      <c r="E165" s="858">
        <f>1.3*1.3*0.2+0.15*0.15*3.14*0.1</f>
        <v>0.34506500000000007</v>
      </c>
      <c r="F165" s="858"/>
      <c r="G165" s="837">
        <f>E165*F165</f>
        <v>0</v>
      </c>
    </row>
    <row r="166" spans="1:7" s="835" customFormat="1" ht="13.8" x14ac:dyDescent="0.25">
      <c r="A166" s="817" t="s">
        <v>2200</v>
      </c>
      <c r="B166" s="629"/>
      <c r="C166" s="568" t="s">
        <v>2609</v>
      </c>
      <c r="D166" s="857" t="s">
        <v>2</v>
      </c>
      <c r="E166" s="858">
        <f>1.3*1.3*1.4</f>
        <v>2.3660000000000001</v>
      </c>
      <c r="F166" s="858"/>
      <c r="G166" s="837">
        <f>E166*F166</f>
        <v>0</v>
      </c>
    </row>
    <row r="167" spans="1:7" s="835" customFormat="1" ht="19.2" customHeight="1" x14ac:dyDescent="0.25">
      <c r="A167" s="817" t="s">
        <v>2201</v>
      </c>
      <c r="B167" s="992"/>
      <c r="C167" s="993" t="s">
        <v>522</v>
      </c>
      <c r="D167" s="994"/>
      <c r="E167" s="995"/>
      <c r="F167" s="995"/>
      <c r="G167" s="996"/>
    </row>
    <row r="168" spans="1:7" s="835" customFormat="1" ht="92.4" x14ac:dyDescent="0.25">
      <c r="A168" s="817" t="s">
        <v>2202</v>
      </c>
      <c r="B168" s="629"/>
      <c r="C168" s="568" t="s">
        <v>523</v>
      </c>
      <c r="E168" s="836"/>
      <c r="F168" s="836"/>
      <c r="G168" s="837"/>
    </row>
    <row r="169" spans="1:7" s="835" customFormat="1" ht="52.8" x14ac:dyDescent="0.25">
      <c r="A169" s="817" t="s">
        <v>2203</v>
      </c>
      <c r="B169" s="629" t="s">
        <v>285</v>
      </c>
      <c r="C169" s="568" t="s">
        <v>524</v>
      </c>
      <c r="E169" s="836"/>
      <c r="F169" s="836"/>
      <c r="G169" s="837"/>
    </row>
    <row r="170" spans="1:7" s="835" customFormat="1" ht="26.4" x14ac:dyDescent="0.25">
      <c r="A170" s="817" t="s">
        <v>2204</v>
      </c>
      <c r="B170" s="629" t="s">
        <v>285</v>
      </c>
      <c r="C170" s="568" t="s">
        <v>2610</v>
      </c>
      <c r="D170" s="835" t="s">
        <v>2</v>
      </c>
      <c r="E170" s="836">
        <v>9.23</v>
      </c>
      <c r="F170" s="836"/>
      <c r="G170" s="837">
        <f t="shared" ref="G170:G179" si="4">E170*F170</f>
        <v>0</v>
      </c>
    </row>
    <row r="171" spans="1:7" s="835" customFormat="1" x14ac:dyDescent="0.25">
      <c r="A171" s="817" t="s">
        <v>2205</v>
      </c>
      <c r="B171" s="629" t="s">
        <v>285</v>
      </c>
      <c r="C171" s="819" t="s">
        <v>525</v>
      </c>
      <c r="D171" s="835" t="s">
        <v>15</v>
      </c>
      <c r="E171" s="836">
        <f>40+4.1*2+0.465*1.5</f>
        <v>48.897500000000001</v>
      </c>
      <c r="F171" s="836"/>
      <c r="G171" s="837">
        <f t="shared" si="4"/>
        <v>0</v>
      </c>
    </row>
    <row r="172" spans="1:7" s="835" customFormat="1" ht="26.4" x14ac:dyDescent="0.25">
      <c r="A172" s="817" t="s">
        <v>2206</v>
      </c>
      <c r="B172" s="629" t="s">
        <v>285</v>
      </c>
      <c r="C172" s="819" t="s">
        <v>526</v>
      </c>
      <c r="D172" s="835" t="s">
        <v>15</v>
      </c>
      <c r="E172" s="836">
        <f>40+4.1*2+0.465*1.5</f>
        <v>48.897500000000001</v>
      </c>
      <c r="F172" s="836"/>
      <c r="G172" s="837">
        <f t="shared" si="4"/>
        <v>0</v>
      </c>
    </row>
    <row r="173" spans="1:7" s="835" customFormat="1" ht="26.4" x14ac:dyDescent="0.25">
      <c r="A173" s="817" t="s">
        <v>2207</v>
      </c>
      <c r="B173" s="629" t="s">
        <v>285</v>
      </c>
      <c r="C173" s="568" t="s">
        <v>2611</v>
      </c>
      <c r="D173" s="835" t="s">
        <v>308</v>
      </c>
      <c r="E173" s="836">
        <v>1</v>
      </c>
      <c r="F173" s="836"/>
      <c r="G173" s="837">
        <f t="shared" si="4"/>
        <v>0</v>
      </c>
    </row>
    <row r="174" spans="1:7" s="835" customFormat="1" ht="26.4" x14ac:dyDescent="0.25">
      <c r="A174" s="817" t="s">
        <v>2208</v>
      </c>
      <c r="B174" s="629" t="s">
        <v>285</v>
      </c>
      <c r="C174" s="568" t="s">
        <v>2612</v>
      </c>
      <c r="D174" s="835" t="s">
        <v>308</v>
      </c>
      <c r="E174" s="836">
        <v>1</v>
      </c>
      <c r="F174" s="836"/>
      <c r="G174" s="837">
        <f t="shared" si="4"/>
        <v>0</v>
      </c>
    </row>
    <row r="175" spans="1:7" s="835" customFormat="1" ht="26.4" x14ac:dyDescent="0.25">
      <c r="A175" s="817" t="s">
        <v>2209</v>
      </c>
      <c r="B175" s="629" t="s">
        <v>285</v>
      </c>
      <c r="C175" s="568" t="s">
        <v>2613</v>
      </c>
      <c r="D175" s="835" t="s">
        <v>308</v>
      </c>
      <c r="E175" s="836">
        <v>1</v>
      </c>
      <c r="F175" s="836"/>
      <c r="G175" s="837">
        <f t="shared" si="4"/>
        <v>0</v>
      </c>
    </row>
    <row r="176" spans="1:7" s="835" customFormat="1" x14ac:dyDescent="0.25">
      <c r="A176" s="817" t="s">
        <v>2210</v>
      </c>
      <c r="B176" s="629" t="s">
        <v>285</v>
      </c>
      <c r="C176" s="568" t="s">
        <v>2581</v>
      </c>
      <c r="D176" s="835" t="s">
        <v>308</v>
      </c>
      <c r="E176" s="836">
        <v>1</v>
      </c>
      <c r="F176" s="836"/>
      <c r="G176" s="837">
        <f t="shared" si="4"/>
        <v>0</v>
      </c>
    </row>
    <row r="177" spans="1:8" s="835" customFormat="1" ht="39.6" x14ac:dyDescent="0.25">
      <c r="A177" s="817" t="s">
        <v>2211</v>
      </c>
      <c r="B177" s="629" t="s">
        <v>285</v>
      </c>
      <c r="C177" s="568" t="s">
        <v>2614</v>
      </c>
      <c r="D177" s="835" t="s">
        <v>308</v>
      </c>
      <c r="E177" s="836">
        <v>1</v>
      </c>
      <c r="F177" s="836"/>
      <c r="G177" s="837">
        <f t="shared" si="4"/>
        <v>0</v>
      </c>
    </row>
    <row r="178" spans="1:8" s="835" customFormat="1" x14ac:dyDescent="0.25">
      <c r="A178" s="817" t="s">
        <v>2212</v>
      </c>
      <c r="B178" s="629" t="s">
        <v>285</v>
      </c>
      <c r="C178" s="568" t="s">
        <v>527</v>
      </c>
      <c r="D178" s="835" t="s">
        <v>308</v>
      </c>
      <c r="E178" s="836">
        <v>1</v>
      </c>
      <c r="F178" s="836"/>
      <c r="G178" s="837">
        <f t="shared" si="4"/>
        <v>0</v>
      </c>
    </row>
    <row r="179" spans="1:8" s="835" customFormat="1" x14ac:dyDescent="0.25">
      <c r="A179" s="817" t="s">
        <v>2213</v>
      </c>
      <c r="B179" s="629" t="s">
        <v>285</v>
      </c>
      <c r="C179" s="568" t="s">
        <v>504</v>
      </c>
      <c r="D179" s="835" t="s">
        <v>308</v>
      </c>
      <c r="E179" s="836">
        <v>1</v>
      </c>
      <c r="F179" s="836"/>
      <c r="G179" s="837">
        <f t="shared" si="4"/>
        <v>0</v>
      </c>
    </row>
    <row r="180" spans="1:8" s="835" customFormat="1" x14ac:dyDescent="0.25">
      <c r="A180" s="817" t="s">
        <v>2214</v>
      </c>
      <c r="B180" s="897"/>
      <c r="C180" s="898" t="s">
        <v>2634</v>
      </c>
      <c r="D180" s="899"/>
      <c r="E180" s="900"/>
      <c r="F180" s="901"/>
      <c r="G180" s="902"/>
      <c r="H180" s="903"/>
    </row>
    <row r="181" spans="1:8" s="634" customFormat="1" x14ac:dyDescent="0.25">
      <c r="A181" s="817" t="s">
        <v>2215</v>
      </c>
      <c r="B181" s="630" t="s">
        <v>360</v>
      </c>
      <c r="C181" s="631" t="s">
        <v>227</v>
      </c>
      <c r="D181" s="631" t="s">
        <v>358</v>
      </c>
      <c r="E181" s="632">
        <f>8*4</f>
        <v>32</v>
      </c>
      <c r="F181" s="632"/>
      <c r="G181" s="632">
        <f>E181*F181</f>
        <v>0</v>
      </c>
      <c r="H181" s="633"/>
    </row>
    <row r="182" spans="1:8" s="583" customFormat="1" ht="15" x14ac:dyDescent="0.25">
      <c r="A182" s="817" t="s">
        <v>2216</v>
      </c>
      <c r="B182" s="629"/>
      <c r="C182" s="635" t="s">
        <v>662</v>
      </c>
      <c r="D182" s="635" t="s">
        <v>26</v>
      </c>
      <c r="E182" s="636">
        <v>1</v>
      </c>
      <c r="F182" s="636"/>
      <c r="G182" s="637">
        <f>E182*F182</f>
        <v>0</v>
      </c>
      <c r="H182" s="638"/>
    </row>
    <row r="183" spans="1:8" s="835" customFormat="1" x14ac:dyDescent="0.25">
      <c r="A183" s="817" t="s">
        <v>2217</v>
      </c>
      <c r="B183" s="550"/>
      <c r="C183" s="550" t="s">
        <v>669</v>
      </c>
      <c r="D183" s="546" t="s">
        <v>26</v>
      </c>
      <c r="E183" s="639">
        <v>1</v>
      </c>
      <c r="F183" s="639"/>
      <c r="G183" s="640">
        <f>E183*F183</f>
        <v>0</v>
      </c>
    </row>
    <row r="184" spans="1:8" s="835" customFormat="1" x14ac:dyDescent="0.25">
      <c r="A184" s="823"/>
      <c r="B184" s="629"/>
      <c r="C184" s="568"/>
      <c r="E184" s="836"/>
      <c r="F184" s="836"/>
      <c r="G184" s="837"/>
    </row>
  </sheetData>
  <phoneticPr fontId="12" type="noConversion"/>
  <printOptions horizontalCentered="1" gridLines="1"/>
  <pageMargins left="0.47244094488188981" right="0.47244094488188981" top="0.59055118110236227" bottom="0.59055118110236227" header="0.31496062992125984" footer="0.31496062992125984"/>
  <pageSetup paperSize="9" scale="75" fitToHeight="100" orientation="portrait" r:id="rId1"/>
  <headerFooter>
    <oddFooter>Stránka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K144"/>
  <sheetViews>
    <sheetView workbookViewId="0">
      <selection activeCell="G9" sqref="G9"/>
    </sheetView>
  </sheetViews>
  <sheetFormatPr defaultColWidth="11.44140625" defaultRowHeight="13.2" x14ac:dyDescent="0.25"/>
  <cols>
    <col min="1" max="1" width="2.88671875" style="414" customWidth="1"/>
    <col min="2" max="2" width="11.33203125" style="611" customWidth="1"/>
    <col min="3" max="3" width="3.88671875" style="414" customWidth="1"/>
    <col min="4" max="4" width="41.88671875" style="414" customWidth="1"/>
    <col min="5" max="5" width="7.33203125" style="414" customWidth="1"/>
    <col min="6" max="6" width="4.88671875" style="414" customWidth="1"/>
    <col min="7" max="7" width="9.109375" style="414" customWidth="1"/>
    <col min="8" max="8" width="8.88671875" style="414" customWidth="1"/>
    <col min="9" max="9" width="9.5546875" style="415" customWidth="1"/>
    <col min="10" max="10" width="42.88671875" style="414" customWidth="1"/>
    <col min="11" max="11" width="1.44140625" customWidth="1"/>
  </cols>
  <sheetData>
    <row r="1" spans="1:11" x14ac:dyDescent="0.25">
      <c r="A1" s="400" t="s">
        <v>2061</v>
      </c>
      <c r="B1" s="416"/>
      <c r="C1" s="400"/>
      <c r="D1" s="400" t="str">
        <f>+'[2]Rekapitulace projektu'!D1</f>
        <v>Náměstí Běchovice</v>
      </c>
      <c r="E1" s="400"/>
      <c r="F1" s="400"/>
      <c r="G1" s="400"/>
      <c r="H1" s="400"/>
      <c r="I1" s="401"/>
      <c r="J1" s="400"/>
    </row>
    <row r="2" spans="1:11" x14ac:dyDescent="0.25">
      <c r="A2" s="400" t="s">
        <v>2062</v>
      </c>
      <c r="B2" s="416"/>
      <c r="C2" s="400"/>
      <c r="D2" s="400" t="str">
        <f>+'[2]Rekapitulace projektu'!D2</f>
        <v>Městská část Praha – Běchovice, Českobrodská 3, 190 11 Praha – Běchovice</v>
      </c>
      <c r="E2" s="400"/>
      <c r="F2" s="400"/>
      <c r="G2" s="400"/>
      <c r="H2" s="400"/>
      <c r="I2" s="401"/>
      <c r="J2" s="400"/>
    </row>
    <row r="3" spans="1:11" x14ac:dyDescent="0.25">
      <c r="A3" s="400" t="s">
        <v>2063</v>
      </c>
      <c r="B3" s="416"/>
      <c r="C3" s="400"/>
      <c r="D3" s="400" t="str">
        <f>+'[2]Rekapitulace projektu'!D3</f>
        <v>Ing. Tomáš Pilař</v>
      </c>
      <c r="E3" s="400"/>
      <c r="F3" s="400"/>
      <c r="G3" s="400"/>
      <c r="H3" s="400"/>
      <c r="I3" s="401"/>
      <c r="J3" s="400"/>
    </row>
    <row r="4" spans="1:11" x14ac:dyDescent="0.25">
      <c r="A4" s="400" t="s">
        <v>2064</v>
      </c>
      <c r="B4" s="416"/>
      <c r="C4" s="400"/>
      <c r="D4" s="402">
        <f>+'[2]Souhrn SO'!D4</f>
        <v>44301</v>
      </c>
      <c r="E4" s="400"/>
      <c r="F4" s="400"/>
      <c r="G4" s="400"/>
      <c r="H4" s="400"/>
      <c r="I4" s="401"/>
      <c r="J4" s="400"/>
    </row>
    <row r="5" spans="1:11" x14ac:dyDescent="0.25">
      <c r="A5" s="400"/>
      <c r="B5" s="416"/>
      <c r="C5" s="400"/>
      <c r="D5" s="400"/>
      <c r="E5" s="400"/>
      <c r="F5" s="400"/>
      <c r="G5" s="400"/>
      <c r="H5" s="400"/>
      <c r="I5" s="401" t="s">
        <v>2073</v>
      </c>
      <c r="J5" s="400"/>
    </row>
    <row r="6" spans="1:11" x14ac:dyDescent="0.25">
      <c r="A6" s="400" t="s">
        <v>2074</v>
      </c>
      <c r="B6" s="416"/>
      <c r="C6" s="400"/>
      <c r="D6" s="403" t="s">
        <v>566</v>
      </c>
      <c r="E6" s="403"/>
      <c r="F6" s="403"/>
      <c r="G6" s="403"/>
      <c r="H6" s="400"/>
      <c r="I6" s="1012">
        <f>+SUM(I9:I134)</f>
        <v>0</v>
      </c>
      <c r="J6" s="403" t="s">
        <v>2075</v>
      </c>
    </row>
    <row r="7" spans="1:11" x14ac:dyDescent="0.25">
      <c r="A7" s="400"/>
      <c r="B7" s="416"/>
      <c r="C7" s="400"/>
      <c r="D7" s="400"/>
      <c r="E7" s="400"/>
      <c r="F7" s="400"/>
      <c r="G7" s="400"/>
      <c r="H7" s="400"/>
      <c r="I7" s="401"/>
      <c r="J7" s="400"/>
    </row>
    <row r="8" spans="1:11" ht="61.2" x14ac:dyDescent="0.25">
      <c r="A8" s="608" t="s">
        <v>2076</v>
      </c>
      <c r="B8" s="612" t="s">
        <v>2077</v>
      </c>
      <c r="C8" s="608" t="s">
        <v>2078</v>
      </c>
      <c r="D8" s="608" t="s">
        <v>2079</v>
      </c>
      <c r="E8" s="608" t="s">
        <v>2080</v>
      </c>
      <c r="F8" s="608" t="s">
        <v>2081</v>
      </c>
      <c r="G8" s="608" t="s">
        <v>2082</v>
      </c>
      <c r="H8" s="608" t="s">
        <v>2083</v>
      </c>
      <c r="I8" s="609" t="s">
        <v>2084</v>
      </c>
      <c r="J8" s="608" t="s">
        <v>2085</v>
      </c>
    </row>
    <row r="9" spans="1:11" ht="123.6" customHeight="1" x14ac:dyDescent="0.25">
      <c r="A9" s="400"/>
      <c r="B9" s="416"/>
      <c r="C9" s="1029" t="s">
        <v>2086</v>
      </c>
      <c r="D9" s="1029"/>
      <c r="E9" s="400">
        <v>19</v>
      </c>
      <c r="F9" s="400" t="s">
        <v>26</v>
      </c>
      <c r="G9" s="405"/>
      <c r="H9" s="400"/>
      <c r="I9" s="401">
        <f>+E9*G9</f>
        <v>0</v>
      </c>
      <c r="J9" s="404" t="s">
        <v>2087</v>
      </c>
      <c r="K9" s="264"/>
    </row>
    <row r="10" spans="1:11" ht="26.4" x14ac:dyDescent="0.25">
      <c r="A10" s="400" t="s">
        <v>392</v>
      </c>
      <c r="B10" s="416" t="s">
        <v>2508</v>
      </c>
      <c r="C10" s="400"/>
      <c r="D10" s="406" t="s">
        <v>2088</v>
      </c>
      <c r="E10" s="407">
        <v>1</v>
      </c>
      <c r="F10" s="407" t="s">
        <v>26</v>
      </c>
      <c r="G10" s="408"/>
      <c r="H10" s="407">
        <f t="shared" ref="H10:H23" si="0">+E10*G10</f>
        <v>0</v>
      </c>
      <c r="I10" s="409"/>
      <c r="J10" s="406"/>
      <c r="K10" s="264"/>
    </row>
    <row r="11" spans="1:11" x14ac:dyDescent="0.25">
      <c r="A11" s="400" t="s">
        <v>298</v>
      </c>
      <c r="B11" s="416"/>
      <c r="C11" s="400"/>
      <c r="D11" s="406" t="s">
        <v>2089</v>
      </c>
      <c r="E11" s="407">
        <v>0.125</v>
      </c>
      <c r="F11" s="407" t="s">
        <v>2</v>
      </c>
      <c r="G11" s="408"/>
      <c r="H11" s="407">
        <f t="shared" si="0"/>
        <v>0</v>
      </c>
      <c r="I11" s="409"/>
      <c r="J11" s="406"/>
      <c r="K11" s="264"/>
    </row>
    <row r="12" spans="1:11" x14ac:dyDescent="0.25">
      <c r="A12" s="400" t="s">
        <v>392</v>
      </c>
      <c r="B12" s="416" t="s">
        <v>2509</v>
      </c>
      <c r="C12" s="400"/>
      <c r="D12" s="406" t="s">
        <v>2090</v>
      </c>
      <c r="E12" s="407">
        <v>1</v>
      </c>
      <c r="F12" s="407" t="s">
        <v>26</v>
      </c>
      <c r="G12" s="408"/>
      <c r="H12" s="407">
        <f t="shared" si="0"/>
        <v>0</v>
      </c>
      <c r="I12" s="409"/>
      <c r="J12" s="406"/>
      <c r="K12" s="264"/>
    </row>
    <row r="13" spans="1:11" ht="66" x14ac:dyDescent="0.25">
      <c r="A13" s="400" t="s">
        <v>298</v>
      </c>
      <c r="B13" s="416"/>
      <c r="C13" s="400"/>
      <c r="D13" s="406" t="s">
        <v>2091</v>
      </c>
      <c r="E13" s="407">
        <v>1</v>
      </c>
      <c r="F13" s="407" t="s">
        <v>26</v>
      </c>
      <c r="G13" s="408"/>
      <c r="H13" s="407">
        <f t="shared" si="0"/>
        <v>0</v>
      </c>
      <c r="I13" s="409"/>
      <c r="J13" s="406" t="s">
        <v>2092</v>
      </c>
      <c r="K13" s="264"/>
    </row>
    <row r="14" spans="1:11" ht="26.4" x14ac:dyDescent="0.25">
      <c r="A14" s="400" t="s">
        <v>392</v>
      </c>
      <c r="B14" s="416" t="s">
        <v>2510</v>
      </c>
      <c r="C14" s="400"/>
      <c r="D14" s="406" t="s">
        <v>2093</v>
      </c>
      <c r="E14" s="407">
        <v>0.05</v>
      </c>
      <c r="F14" s="407" t="s">
        <v>51</v>
      </c>
      <c r="G14" s="408"/>
      <c r="H14" s="407">
        <f t="shared" si="0"/>
        <v>0</v>
      </c>
      <c r="I14" s="409"/>
      <c r="J14" s="406"/>
      <c r="K14" s="264"/>
    </row>
    <row r="15" spans="1:11" ht="26.4" x14ac:dyDescent="0.25">
      <c r="A15" s="400" t="s">
        <v>298</v>
      </c>
      <c r="B15" s="416"/>
      <c r="C15" s="400"/>
      <c r="D15" s="406" t="s">
        <v>2094</v>
      </c>
      <c r="E15" s="407">
        <v>0.05</v>
      </c>
      <c r="F15" s="407" t="s">
        <v>51</v>
      </c>
      <c r="G15" s="408"/>
      <c r="H15" s="407">
        <f t="shared" si="0"/>
        <v>0</v>
      </c>
      <c r="I15" s="409"/>
      <c r="J15" s="406"/>
      <c r="K15" s="264"/>
    </row>
    <row r="16" spans="1:11" x14ac:dyDescent="0.25">
      <c r="A16" s="400" t="s">
        <v>392</v>
      </c>
      <c r="B16" s="416" t="s">
        <v>2511</v>
      </c>
      <c r="C16" s="400"/>
      <c r="D16" s="406" t="s">
        <v>2095</v>
      </c>
      <c r="E16" s="407">
        <v>1</v>
      </c>
      <c r="F16" s="407" t="s">
        <v>26</v>
      </c>
      <c r="G16" s="408"/>
      <c r="H16" s="407">
        <f t="shared" si="0"/>
        <v>0</v>
      </c>
      <c r="I16" s="409"/>
      <c r="J16" s="406"/>
      <c r="K16" s="264"/>
    </row>
    <row r="17" spans="1:11" x14ac:dyDescent="0.25">
      <c r="A17" s="400" t="s">
        <v>298</v>
      </c>
      <c r="B17" s="416"/>
      <c r="C17" s="400"/>
      <c r="D17" s="406" t="s">
        <v>2096</v>
      </c>
      <c r="E17" s="407">
        <v>1</v>
      </c>
      <c r="F17" s="407" t="s">
        <v>2097</v>
      </c>
      <c r="G17" s="408"/>
      <c r="H17" s="407">
        <f t="shared" si="0"/>
        <v>0</v>
      </c>
      <c r="I17" s="409"/>
      <c r="J17" s="406" t="s">
        <v>2098</v>
      </c>
      <c r="K17" s="264"/>
    </row>
    <row r="18" spans="1:11" ht="26.4" x14ac:dyDescent="0.25">
      <c r="A18" s="400" t="s">
        <v>392</v>
      </c>
      <c r="B18" s="416" t="s">
        <v>2512</v>
      </c>
      <c r="C18" s="400"/>
      <c r="D18" s="406" t="s">
        <v>2099</v>
      </c>
      <c r="E18" s="407">
        <f>1.5*0.45</f>
        <v>0.67500000000000004</v>
      </c>
      <c r="F18" s="407" t="s">
        <v>15</v>
      </c>
      <c r="G18" s="408"/>
      <c r="H18" s="407">
        <f t="shared" si="0"/>
        <v>0</v>
      </c>
      <c r="I18" s="409"/>
      <c r="J18" s="406" t="s">
        <v>2100</v>
      </c>
      <c r="K18" s="264"/>
    </row>
    <row r="19" spans="1:11" x14ac:dyDescent="0.25">
      <c r="A19" s="400" t="s">
        <v>298</v>
      </c>
      <c r="B19" s="416"/>
      <c r="C19" s="400"/>
      <c r="D19" s="406" t="s">
        <v>2101</v>
      </c>
      <c r="E19" s="407">
        <f>+E18</f>
        <v>0.67500000000000004</v>
      </c>
      <c r="F19" s="407" t="s">
        <v>15</v>
      </c>
      <c r="G19" s="408"/>
      <c r="H19" s="407">
        <f t="shared" si="0"/>
        <v>0</v>
      </c>
      <c r="I19" s="409"/>
      <c r="J19" s="406"/>
      <c r="K19" s="264"/>
    </row>
    <row r="20" spans="1:11" ht="26.4" x14ac:dyDescent="0.25">
      <c r="A20" s="400" t="s">
        <v>392</v>
      </c>
      <c r="B20" s="416" t="s">
        <v>2513</v>
      </c>
      <c r="C20" s="400"/>
      <c r="D20" s="406" t="s">
        <v>2102</v>
      </c>
      <c r="E20" s="407">
        <v>1</v>
      </c>
      <c r="F20" s="407" t="s">
        <v>26</v>
      </c>
      <c r="G20" s="408"/>
      <c r="H20" s="407">
        <f t="shared" si="0"/>
        <v>0</v>
      </c>
      <c r="I20" s="409"/>
      <c r="J20" s="406"/>
      <c r="K20" s="264"/>
    </row>
    <row r="21" spans="1:11" x14ac:dyDescent="0.25">
      <c r="A21" s="400" t="s">
        <v>392</v>
      </c>
      <c r="B21" s="416" t="s">
        <v>2514</v>
      </c>
      <c r="C21" s="400"/>
      <c r="D21" s="406" t="s">
        <v>2103</v>
      </c>
      <c r="E21" s="407">
        <v>2</v>
      </c>
      <c r="F21" s="407" t="s">
        <v>15</v>
      </c>
      <c r="G21" s="408"/>
      <c r="H21" s="407">
        <f t="shared" si="0"/>
        <v>0</v>
      </c>
      <c r="I21" s="409"/>
      <c r="J21" s="406"/>
      <c r="K21" s="264"/>
    </row>
    <row r="22" spans="1:11" x14ac:dyDescent="0.25">
      <c r="A22" s="400" t="s">
        <v>298</v>
      </c>
      <c r="B22" s="416" t="s">
        <v>2515</v>
      </c>
      <c r="C22" s="400"/>
      <c r="D22" s="406" t="s">
        <v>2104</v>
      </c>
      <c r="E22" s="407">
        <v>0.1</v>
      </c>
      <c r="F22" s="407" t="s">
        <v>2</v>
      </c>
      <c r="G22" s="408"/>
      <c r="H22" s="407">
        <f t="shared" si="0"/>
        <v>0</v>
      </c>
      <c r="I22" s="409"/>
      <c r="J22" s="406"/>
      <c r="K22" s="264"/>
    </row>
    <row r="23" spans="1:11" x14ac:dyDescent="0.25">
      <c r="A23" s="400" t="s">
        <v>392</v>
      </c>
      <c r="B23" s="416" t="s">
        <v>2516</v>
      </c>
      <c r="C23" s="400"/>
      <c r="D23" s="406" t="s">
        <v>2105</v>
      </c>
      <c r="E23" s="407">
        <v>1</v>
      </c>
      <c r="F23" s="407" t="s">
        <v>26</v>
      </c>
      <c r="G23" s="408"/>
      <c r="H23" s="407">
        <f t="shared" si="0"/>
        <v>0</v>
      </c>
      <c r="I23" s="409"/>
      <c r="J23" s="406"/>
      <c r="K23" s="264"/>
    </row>
    <row r="24" spans="1:11" x14ac:dyDescent="0.25">
      <c r="A24" s="400"/>
      <c r="B24" s="416"/>
      <c r="C24" s="400"/>
      <c r="D24" s="404"/>
      <c r="E24" s="400"/>
      <c r="F24" s="400"/>
      <c r="G24" s="400"/>
      <c r="H24" s="400"/>
      <c r="I24" s="401"/>
      <c r="J24" s="404"/>
      <c r="K24" s="264"/>
    </row>
    <row r="25" spans="1:11" ht="70.95" customHeight="1" x14ac:dyDescent="0.25">
      <c r="A25" s="400"/>
      <c r="B25" s="416"/>
      <c r="C25" s="1029" t="s">
        <v>2106</v>
      </c>
      <c r="D25" s="1029"/>
      <c r="E25" s="400">
        <f>+E9</f>
        <v>19</v>
      </c>
      <c r="F25" s="400" t="s">
        <v>26</v>
      </c>
      <c r="G25" s="400"/>
      <c r="H25" s="400"/>
      <c r="I25" s="401">
        <f>+E25*G25</f>
        <v>0</v>
      </c>
      <c r="J25" s="404" t="s">
        <v>2107</v>
      </c>
      <c r="K25" s="264"/>
    </row>
    <row r="26" spans="1:11" ht="26.4" x14ac:dyDescent="0.25">
      <c r="A26" s="400" t="s">
        <v>392</v>
      </c>
      <c r="B26" s="416" t="s">
        <v>2517</v>
      </c>
      <c r="C26" s="400"/>
      <c r="D26" s="406" t="s">
        <v>2108</v>
      </c>
      <c r="E26" s="407">
        <v>1.5</v>
      </c>
      <c r="F26" s="407" t="s">
        <v>15</v>
      </c>
      <c r="G26" s="408"/>
      <c r="H26" s="407">
        <f>+E26*G26</f>
        <v>0</v>
      </c>
      <c r="I26" s="409"/>
      <c r="J26" s="406" t="s">
        <v>2109</v>
      </c>
      <c r="K26" s="264"/>
    </row>
    <row r="27" spans="1:11" x14ac:dyDescent="0.25">
      <c r="A27" s="400" t="s">
        <v>392</v>
      </c>
      <c r="B27" s="416" t="s">
        <v>2518</v>
      </c>
      <c r="C27" s="400"/>
      <c r="D27" s="406" t="s">
        <v>2110</v>
      </c>
      <c r="E27" s="407">
        <v>1</v>
      </c>
      <c r="F27" s="407" t="s">
        <v>26</v>
      </c>
      <c r="G27" s="408"/>
      <c r="H27" s="407">
        <f>+E27*G27</f>
        <v>0</v>
      </c>
      <c r="I27" s="409"/>
      <c r="J27" s="406"/>
      <c r="K27" s="264"/>
    </row>
    <row r="28" spans="1:11" x14ac:dyDescent="0.25">
      <c r="A28" s="400" t="s">
        <v>2111</v>
      </c>
      <c r="B28" s="416" t="s">
        <v>2519</v>
      </c>
      <c r="C28" s="400"/>
      <c r="D28" s="406" t="s">
        <v>2112</v>
      </c>
      <c r="E28" s="407">
        <f>(16+16+8)*0.05</f>
        <v>2</v>
      </c>
      <c r="F28" s="407" t="s">
        <v>2</v>
      </c>
      <c r="G28" s="408"/>
      <c r="H28" s="407">
        <f>+E28*G28</f>
        <v>0</v>
      </c>
      <c r="I28" s="409"/>
      <c r="J28" s="406" t="s">
        <v>2113</v>
      </c>
      <c r="K28" s="264"/>
    </row>
    <row r="29" spans="1:11" x14ac:dyDescent="0.25">
      <c r="A29" s="400" t="s">
        <v>392</v>
      </c>
      <c r="B29" s="416" t="s">
        <v>2520</v>
      </c>
      <c r="C29" s="400"/>
      <c r="D29" s="406" t="s">
        <v>2114</v>
      </c>
      <c r="E29" s="407">
        <v>1</v>
      </c>
      <c r="F29" s="407" t="s">
        <v>26</v>
      </c>
      <c r="G29" s="408"/>
      <c r="H29" s="407">
        <f>+E29*G29</f>
        <v>0</v>
      </c>
      <c r="I29" s="409"/>
      <c r="J29" s="406"/>
      <c r="K29" s="264"/>
    </row>
    <row r="30" spans="1:11" x14ac:dyDescent="0.25">
      <c r="A30" s="400" t="s">
        <v>392</v>
      </c>
      <c r="B30" s="416" t="s">
        <v>2521</v>
      </c>
      <c r="C30" s="400"/>
      <c r="D30" s="406" t="s">
        <v>2115</v>
      </c>
      <c r="E30" s="407">
        <v>1</v>
      </c>
      <c r="F30" s="407" t="s">
        <v>15</v>
      </c>
      <c r="G30" s="408"/>
      <c r="H30" s="407">
        <f>+E30*G30</f>
        <v>0</v>
      </c>
      <c r="I30" s="409"/>
      <c r="J30" s="406"/>
      <c r="K30" s="264"/>
    </row>
    <row r="31" spans="1:11" x14ac:dyDescent="0.25">
      <c r="A31" s="400"/>
      <c r="B31" s="416"/>
      <c r="C31" s="403"/>
      <c r="D31" s="404"/>
      <c r="E31" s="400"/>
      <c r="F31" s="400"/>
      <c r="G31" s="400"/>
      <c r="H31" s="400"/>
      <c r="I31" s="401"/>
      <c r="J31" s="404"/>
      <c r="K31" s="264"/>
    </row>
    <row r="32" spans="1:11" ht="189" customHeight="1" x14ac:dyDescent="0.25">
      <c r="A32" s="400"/>
      <c r="B32" s="416"/>
      <c r="C32" s="1029" t="s">
        <v>2116</v>
      </c>
      <c r="D32" s="1029"/>
      <c r="E32" s="400">
        <v>20</v>
      </c>
      <c r="F32" s="400" t="s">
        <v>26</v>
      </c>
      <c r="G32" s="405"/>
      <c r="H32" s="400"/>
      <c r="I32" s="401">
        <f>+E32*G32</f>
        <v>0</v>
      </c>
      <c r="J32" s="404" t="s">
        <v>2117</v>
      </c>
      <c r="K32" s="264"/>
    </row>
    <row r="33" spans="1:11" ht="26.4" x14ac:dyDescent="0.25">
      <c r="A33" s="400" t="s">
        <v>392</v>
      </c>
      <c r="B33" s="416" t="s">
        <v>2522</v>
      </c>
      <c r="C33" s="400"/>
      <c r="D33" s="406" t="s">
        <v>2118</v>
      </c>
      <c r="E33" s="407">
        <v>1</v>
      </c>
      <c r="F33" s="407" t="s">
        <v>26</v>
      </c>
      <c r="G33" s="408"/>
      <c r="H33" s="407">
        <f t="shared" ref="H33:H44" si="1">+E33*G33</f>
        <v>0</v>
      </c>
      <c r="I33" s="409"/>
      <c r="J33" s="406"/>
      <c r="K33" s="264"/>
    </row>
    <row r="34" spans="1:11" x14ac:dyDescent="0.25">
      <c r="A34" s="400" t="s">
        <v>298</v>
      </c>
      <c r="B34" s="416"/>
      <c r="C34" s="400"/>
      <c r="D34" s="406" t="s">
        <v>2119</v>
      </c>
      <c r="E34" s="407">
        <v>0.8</v>
      </c>
      <c r="F34" s="407" t="s">
        <v>2</v>
      </c>
      <c r="G34" s="408"/>
      <c r="H34" s="407">
        <f t="shared" si="1"/>
        <v>0</v>
      </c>
      <c r="I34" s="409"/>
      <c r="J34" s="406"/>
      <c r="K34" s="264"/>
    </row>
    <row r="35" spans="1:11" x14ac:dyDescent="0.25">
      <c r="A35" s="400" t="s">
        <v>392</v>
      </c>
      <c r="B35" s="416" t="s">
        <v>2509</v>
      </c>
      <c r="C35" s="400"/>
      <c r="D35" s="406" t="s">
        <v>2090</v>
      </c>
      <c r="E35" s="407">
        <v>1</v>
      </c>
      <c r="F35" s="407" t="s">
        <v>26</v>
      </c>
      <c r="G35" s="408"/>
      <c r="H35" s="407">
        <f t="shared" si="1"/>
        <v>0</v>
      </c>
      <c r="I35" s="409"/>
      <c r="J35" s="406"/>
      <c r="K35" s="264"/>
    </row>
    <row r="36" spans="1:11" ht="69" customHeight="1" x14ac:dyDescent="0.25">
      <c r="A36" s="400" t="s">
        <v>298</v>
      </c>
      <c r="B36" s="416"/>
      <c r="C36" s="400"/>
      <c r="D36" s="406" t="s">
        <v>2120</v>
      </c>
      <c r="E36" s="407">
        <v>1</v>
      </c>
      <c r="F36" s="407" t="s">
        <v>26</v>
      </c>
      <c r="G36" s="408"/>
      <c r="H36" s="407">
        <f t="shared" si="1"/>
        <v>0</v>
      </c>
      <c r="I36" s="409"/>
      <c r="J36" s="406" t="s">
        <v>2121</v>
      </c>
      <c r="K36" s="264"/>
    </row>
    <row r="37" spans="1:11" ht="26.4" x14ac:dyDescent="0.25">
      <c r="A37" s="400" t="s">
        <v>392</v>
      </c>
      <c r="B37" s="416" t="s">
        <v>2510</v>
      </c>
      <c r="C37" s="400"/>
      <c r="D37" s="406" t="s">
        <v>2122</v>
      </c>
      <c r="E37" s="407">
        <v>0.05</v>
      </c>
      <c r="F37" s="407" t="s">
        <v>51</v>
      </c>
      <c r="G37" s="408"/>
      <c r="H37" s="407">
        <f t="shared" si="1"/>
        <v>0</v>
      </c>
      <c r="I37" s="409"/>
      <c r="J37" s="406"/>
      <c r="K37" s="264"/>
    </row>
    <row r="38" spans="1:11" ht="26.4" x14ac:dyDescent="0.25">
      <c r="A38" s="400" t="s">
        <v>298</v>
      </c>
      <c r="B38" s="416"/>
      <c r="C38" s="400"/>
      <c r="D38" s="406" t="s">
        <v>2094</v>
      </c>
      <c r="E38" s="407">
        <v>0.05</v>
      </c>
      <c r="F38" s="407" t="s">
        <v>51</v>
      </c>
      <c r="G38" s="408"/>
      <c r="H38" s="407">
        <f t="shared" si="1"/>
        <v>0</v>
      </c>
      <c r="I38" s="409"/>
      <c r="J38" s="406"/>
      <c r="K38" s="264"/>
    </row>
    <row r="39" spans="1:11" ht="26.4" x14ac:dyDescent="0.25">
      <c r="A39" s="400" t="s">
        <v>392</v>
      </c>
      <c r="B39" s="416" t="s">
        <v>2523</v>
      </c>
      <c r="C39" s="400"/>
      <c r="D39" s="406" t="s">
        <v>2123</v>
      </c>
      <c r="E39" s="407">
        <v>1</v>
      </c>
      <c r="F39" s="407" t="s">
        <v>26</v>
      </c>
      <c r="G39" s="408"/>
      <c r="H39" s="407">
        <f t="shared" si="1"/>
        <v>0</v>
      </c>
      <c r="I39" s="409"/>
      <c r="J39" s="406"/>
      <c r="K39" s="264"/>
    </row>
    <row r="40" spans="1:11" ht="26.4" x14ac:dyDescent="0.25">
      <c r="A40" s="400" t="s">
        <v>298</v>
      </c>
      <c r="B40" s="416"/>
      <c r="C40" s="400"/>
      <c r="D40" s="406" t="s">
        <v>2124</v>
      </c>
      <c r="E40" s="407">
        <v>1</v>
      </c>
      <c r="F40" s="407" t="s">
        <v>2097</v>
      </c>
      <c r="G40" s="408"/>
      <c r="H40" s="407">
        <f t="shared" si="1"/>
        <v>0</v>
      </c>
      <c r="I40" s="409"/>
      <c r="J40" s="406"/>
      <c r="K40" s="264"/>
    </row>
    <row r="41" spans="1:11" ht="26.4" x14ac:dyDescent="0.25">
      <c r="A41" s="400" t="s">
        <v>392</v>
      </c>
      <c r="B41" s="416" t="s">
        <v>2512</v>
      </c>
      <c r="C41" s="400"/>
      <c r="D41" s="406" t="s">
        <v>2099</v>
      </c>
      <c r="E41" s="407">
        <f>1.5*0.45</f>
        <v>0.67500000000000004</v>
      </c>
      <c r="F41" s="407" t="s">
        <v>15</v>
      </c>
      <c r="G41" s="408"/>
      <c r="H41" s="407">
        <f t="shared" si="1"/>
        <v>0</v>
      </c>
      <c r="I41" s="409"/>
      <c r="J41" s="406" t="s">
        <v>2100</v>
      </c>
      <c r="K41" s="264"/>
    </row>
    <row r="42" spans="1:11" x14ac:dyDescent="0.25">
      <c r="A42" s="400" t="s">
        <v>298</v>
      </c>
      <c r="B42" s="416"/>
      <c r="C42" s="400"/>
      <c r="D42" s="406" t="s">
        <v>2101</v>
      </c>
      <c r="E42" s="407">
        <f>+E41</f>
        <v>0.67500000000000004</v>
      </c>
      <c r="F42" s="407" t="s">
        <v>15</v>
      </c>
      <c r="G42" s="408"/>
      <c r="H42" s="407">
        <f t="shared" si="1"/>
        <v>0</v>
      </c>
      <c r="I42" s="409"/>
      <c r="J42" s="406"/>
      <c r="K42" s="264"/>
    </row>
    <row r="43" spans="1:11" ht="26.4" x14ac:dyDescent="0.25">
      <c r="A43" s="400" t="s">
        <v>392</v>
      </c>
      <c r="B43" s="416" t="s">
        <v>2513</v>
      </c>
      <c r="C43" s="400"/>
      <c r="D43" s="406" t="s">
        <v>2102</v>
      </c>
      <c r="E43" s="407">
        <v>1</v>
      </c>
      <c r="F43" s="407" t="s">
        <v>26</v>
      </c>
      <c r="G43" s="408"/>
      <c r="H43" s="407">
        <f t="shared" si="1"/>
        <v>0</v>
      </c>
      <c r="I43" s="409"/>
      <c r="J43" s="406"/>
      <c r="K43" s="264"/>
    </row>
    <row r="44" spans="1:11" x14ac:dyDescent="0.25">
      <c r="A44" s="400" t="s">
        <v>392</v>
      </c>
      <c r="B44" s="416" t="s">
        <v>2516</v>
      </c>
      <c r="C44" s="400"/>
      <c r="D44" s="406" t="s">
        <v>2105</v>
      </c>
      <c r="E44" s="407">
        <v>1</v>
      </c>
      <c r="F44" s="407" t="s">
        <v>26</v>
      </c>
      <c r="G44" s="408"/>
      <c r="H44" s="407">
        <f t="shared" si="1"/>
        <v>0</v>
      </c>
      <c r="I44" s="409"/>
      <c r="J44" s="406"/>
      <c r="K44" s="264"/>
    </row>
    <row r="45" spans="1:11" x14ac:dyDescent="0.25">
      <c r="A45" s="400"/>
      <c r="B45" s="416"/>
      <c r="C45" s="400"/>
      <c r="D45" s="404"/>
      <c r="E45" s="400"/>
      <c r="F45" s="400"/>
      <c r="G45" s="400"/>
      <c r="H45" s="400"/>
      <c r="I45" s="401"/>
      <c r="J45" s="404"/>
      <c r="K45" s="264"/>
    </row>
    <row r="46" spans="1:11" ht="52.2" customHeight="1" x14ac:dyDescent="0.25">
      <c r="A46" s="400"/>
      <c r="B46" s="416"/>
      <c r="C46" s="1029" t="s">
        <v>2106</v>
      </c>
      <c r="D46" s="1029"/>
      <c r="E46" s="400">
        <f>+E32</f>
        <v>20</v>
      </c>
      <c r="F46" s="400" t="s">
        <v>26</v>
      </c>
      <c r="G46" s="400"/>
      <c r="H46" s="400"/>
      <c r="I46" s="401">
        <f>+E46*G46</f>
        <v>0</v>
      </c>
      <c r="J46" s="404" t="s">
        <v>2125</v>
      </c>
      <c r="K46" s="264"/>
    </row>
    <row r="47" spans="1:11" x14ac:dyDescent="0.25">
      <c r="A47" s="400" t="s">
        <v>392</v>
      </c>
      <c r="B47" s="416" t="s">
        <v>2518</v>
      </c>
      <c r="C47" s="400"/>
      <c r="D47" s="406" t="s">
        <v>2110</v>
      </c>
      <c r="E47" s="407">
        <v>1</v>
      </c>
      <c r="F47" s="407" t="s">
        <v>26</v>
      </c>
      <c r="G47" s="408"/>
      <c r="H47" s="407">
        <f>+E47*G47</f>
        <v>0</v>
      </c>
      <c r="I47" s="409"/>
      <c r="J47" s="406" t="s">
        <v>2126</v>
      </c>
      <c r="K47" s="264"/>
    </row>
    <row r="48" spans="1:11" x14ac:dyDescent="0.25">
      <c r="A48" s="400" t="s">
        <v>392</v>
      </c>
      <c r="B48" s="416" t="s">
        <v>2521</v>
      </c>
      <c r="C48" s="400"/>
      <c r="D48" s="406" t="s">
        <v>2115</v>
      </c>
      <c r="E48" s="407">
        <v>1</v>
      </c>
      <c r="F48" s="407" t="s">
        <v>15</v>
      </c>
      <c r="G48" s="408"/>
      <c r="H48" s="407">
        <f>+E48*G48</f>
        <v>0</v>
      </c>
      <c r="I48" s="409"/>
      <c r="J48" s="406"/>
      <c r="K48" s="264"/>
    </row>
    <row r="49" spans="1:11" x14ac:dyDescent="0.25">
      <c r="A49" s="400"/>
      <c r="B49" s="416"/>
      <c r="C49" s="403"/>
      <c r="D49" s="404"/>
      <c r="E49" s="400"/>
      <c r="F49" s="400"/>
      <c r="G49" s="400"/>
      <c r="H49" s="400"/>
      <c r="I49" s="401"/>
      <c r="J49" s="404"/>
      <c r="K49" s="264"/>
    </row>
    <row r="50" spans="1:11" ht="124.95" customHeight="1" x14ac:dyDescent="0.25">
      <c r="A50" s="400"/>
      <c r="B50" s="416"/>
      <c r="C50" s="1029" t="s">
        <v>2127</v>
      </c>
      <c r="D50" s="1029"/>
      <c r="E50" s="400">
        <v>3</v>
      </c>
      <c r="F50" s="400" t="s">
        <v>26</v>
      </c>
      <c r="G50" s="405"/>
      <c r="H50" s="400"/>
      <c r="I50" s="401">
        <f>+E50*G50</f>
        <v>0</v>
      </c>
      <c r="J50" s="404" t="s">
        <v>2128</v>
      </c>
      <c r="K50" s="264"/>
    </row>
    <row r="51" spans="1:11" ht="26.4" x14ac:dyDescent="0.25">
      <c r="A51" s="400" t="s">
        <v>392</v>
      </c>
      <c r="B51" s="416" t="s">
        <v>2524</v>
      </c>
      <c r="C51" s="400"/>
      <c r="D51" s="406" t="s">
        <v>2129</v>
      </c>
      <c r="E51" s="407">
        <v>1</v>
      </c>
      <c r="F51" s="407" t="s">
        <v>26</v>
      </c>
      <c r="G51" s="408"/>
      <c r="H51" s="407">
        <f t="shared" ref="H51:H64" si="2">+E51*G51</f>
        <v>0</v>
      </c>
      <c r="I51" s="409"/>
      <c r="J51" s="406"/>
      <c r="K51" s="264"/>
    </row>
    <row r="52" spans="1:11" x14ac:dyDescent="0.25">
      <c r="A52" s="400" t="s">
        <v>298</v>
      </c>
      <c r="B52" s="416"/>
      <c r="C52" s="400"/>
      <c r="D52" s="406" t="s">
        <v>2130</v>
      </c>
      <c r="E52" s="407">
        <v>1</v>
      </c>
      <c r="F52" s="407" t="s">
        <v>2</v>
      </c>
      <c r="G52" s="408"/>
      <c r="H52" s="407">
        <f t="shared" si="2"/>
        <v>0</v>
      </c>
      <c r="I52" s="409"/>
      <c r="J52" s="406"/>
      <c r="K52" s="264"/>
    </row>
    <row r="53" spans="1:11" x14ac:dyDescent="0.25">
      <c r="A53" s="400" t="s">
        <v>392</v>
      </c>
      <c r="B53" s="416" t="s">
        <v>2525</v>
      </c>
      <c r="C53" s="400"/>
      <c r="D53" s="406" t="s">
        <v>2131</v>
      </c>
      <c r="E53" s="407">
        <v>1</v>
      </c>
      <c r="F53" s="407" t="s">
        <v>26</v>
      </c>
      <c r="G53" s="408"/>
      <c r="H53" s="407">
        <f t="shared" si="2"/>
        <v>0</v>
      </c>
      <c r="I53" s="409"/>
      <c r="J53" s="406"/>
      <c r="K53" s="264"/>
    </row>
    <row r="54" spans="1:11" ht="26.4" x14ac:dyDescent="0.25">
      <c r="A54" s="400" t="s">
        <v>298</v>
      </c>
      <c r="B54" s="416"/>
      <c r="C54" s="400"/>
      <c r="D54" s="406" t="s">
        <v>2132</v>
      </c>
      <c r="E54" s="407">
        <v>1</v>
      </c>
      <c r="F54" s="407" t="s">
        <v>26</v>
      </c>
      <c r="G54" s="408"/>
      <c r="H54" s="407">
        <f t="shared" si="2"/>
        <v>0</v>
      </c>
      <c r="I54" s="409"/>
      <c r="J54" s="406" t="s">
        <v>2133</v>
      </c>
      <c r="K54" s="264"/>
    </row>
    <row r="55" spans="1:11" ht="26.4" x14ac:dyDescent="0.25">
      <c r="A55" s="400" t="s">
        <v>392</v>
      </c>
      <c r="B55" s="416" t="s">
        <v>2510</v>
      </c>
      <c r="C55" s="400"/>
      <c r="D55" s="406" t="s">
        <v>2134</v>
      </c>
      <c r="E55" s="407">
        <v>0.15</v>
      </c>
      <c r="F55" s="407" t="s">
        <v>51</v>
      </c>
      <c r="G55" s="408"/>
      <c r="H55" s="407">
        <f t="shared" si="2"/>
        <v>0</v>
      </c>
      <c r="I55" s="409"/>
      <c r="J55" s="406"/>
      <c r="K55" s="264"/>
    </row>
    <row r="56" spans="1:11" ht="26.4" x14ac:dyDescent="0.25">
      <c r="A56" s="400" t="s">
        <v>298</v>
      </c>
      <c r="B56" s="416"/>
      <c r="C56" s="400"/>
      <c r="D56" s="406" t="s">
        <v>2094</v>
      </c>
      <c r="E56" s="407">
        <v>0.15</v>
      </c>
      <c r="F56" s="407" t="s">
        <v>51</v>
      </c>
      <c r="G56" s="408"/>
      <c r="H56" s="407">
        <f t="shared" si="2"/>
        <v>0</v>
      </c>
      <c r="I56" s="409"/>
      <c r="J56" s="406"/>
      <c r="K56" s="264"/>
    </row>
    <row r="57" spans="1:11" ht="26.4" x14ac:dyDescent="0.25">
      <c r="A57" s="400" t="s">
        <v>392</v>
      </c>
      <c r="B57" s="416" t="s">
        <v>2526</v>
      </c>
      <c r="C57" s="400"/>
      <c r="D57" s="406" t="s">
        <v>2135</v>
      </c>
      <c r="E57" s="407">
        <v>1</v>
      </c>
      <c r="F57" s="407" t="s">
        <v>26</v>
      </c>
      <c r="G57" s="408"/>
      <c r="H57" s="407">
        <f t="shared" si="2"/>
        <v>0</v>
      </c>
      <c r="I57" s="409"/>
      <c r="J57" s="406"/>
      <c r="K57" s="264"/>
    </row>
    <row r="58" spans="1:11" ht="26.4" x14ac:dyDescent="0.25">
      <c r="A58" s="400" t="s">
        <v>298</v>
      </c>
      <c r="B58" s="416"/>
      <c r="C58" s="400"/>
      <c r="D58" s="406" t="s">
        <v>2136</v>
      </c>
      <c r="E58" s="407">
        <v>1</v>
      </c>
      <c r="F58" s="407" t="s">
        <v>2097</v>
      </c>
      <c r="G58" s="408"/>
      <c r="H58" s="407">
        <f t="shared" si="2"/>
        <v>0</v>
      </c>
      <c r="I58" s="409"/>
      <c r="J58" s="406"/>
      <c r="K58" s="264"/>
    </row>
    <row r="59" spans="1:11" ht="26.4" x14ac:dyDescent="0.25">
      <c r="A59" s="400" t="s">
        <v>392</v>
      </c>
      <c r="B59" s="416" t="s">
        <v>2512</v>
      </c>
      <c r="C59" s="400"/>
      <c r="D59" s="406" t="s">
        <v>2099</v>
      </c>
      <c r="E59" s="407">
        <f>1.5*1.8</f>
        <v>2.7</v>
      </c>
      <c r="F59" s="407" t="s">
        <v>15</v>
      </c>
      <c r="G59" s="408"/>
      <c r="H59" s="407">
        <f t="shared" si="2"/>
        <v>0</v>
      </c>
      <c r="I59" s="409"/>
      <c r="J59" s="406" t="s">
        <v>2137</v>
      </c>
      <c r="K59" s="264"/>
    </row>
    <row r="60" spans="1:11" x14ac:dyDescent="0.25">
      <c r="A60" s="400" t="s">
        <v>298</v>
      </c>
      <c r="B60" s="416"/>
      <c r="C60" s="400"/>
      <c r="D60" s="406" t="s">
        <v>2101</v>
      </c>
      <c r="E60" s="407">
        <f>+E59</f>
        <v>2.7</v>
      </c>
      <c r="F60" s="407" t="s">
        <v>15</v>
      </c>
      <c r="G60" s="408"/>
      <c r="H60" s="407">
        <f t="shared" si="2"/>
        <v>0</v>
      </c>
      <c r="I60" s="409"/>
      <c r="J60" s="406"/>
      <c r="K60" s="264"/>
    </row>
    <row r="61" spans="1:11" ht="26.4" x14ac:dyDescent="0.25">
      <c r="A61" s="400" t="s">
        <v>392</v>
      </c>
      <c r="B61" s="416" t="s">
        <v>2513</v>
      </c>
      <c r="C61" s="400"/>
      <c r="D61" s="406" t="s">
        <v>2102</v>
      </c>
      <c r="E61" s="407">
        <v>1</v>
      </c>
      <c r="F61" s="407" t="s">
        <v>26</v>
      </c>
      <c r="G61" s="408"/>
      <c r="H61" s="407">
        <f t="shared" si="2"/>
        <v>0</v>
      </c>
      <c r="I61" s="409"/>
      <c r="J61" s="406"/>
      <c r="K61" s="264"/>
    </row>
    <row r="62" spans="1:11" x14ac:dyDescent="0.25">
      <c r="A62" s="400" t="s">
        <v>392</v>
      </c>
      <c r="B62" s="416" t="s">
        <v>2514</v>
      </c>
      <c r="C62" s="400"/>
      <c r="D62" s="406" t="s">
        <v>2103</v>
      </c>
      <c r="E62" s="407">
        <v>2</v>
      </c>
      <c r="F62" s="407" t="s">
        <v>15</v>
      </c>
      <c r="G62" s="408"/>
      <c r="H62" s="407">
        <f t="shared" si="2"/>
        <v>0</v>
      </c>
      <c r="I62" s="409"/>
      <c r="J62" s="406"/>
      <c r="K62" s="264"/>
    </row>
    <row r="63" spans="1:11" x14ac:dyDescent="0.25">
      <c r="A63" s="400" t="s">
        <v>298</v>
      </c>
      <c r="B63" s="416"/>
      <c r="C63" s="400"/>
      <c r="D63" s="406" t="s">
        <v>2104</v>
      </c>
      <c r="E63" s="407">
        <v>0.1</v>
      </c>
      <c r="F63" s="407" t="s">
        <v>2</v>
      </c>
      <c r="G63" s="408"/>
      <c r="H63" s="407">
        <f t="shared" si="2"/>
        <v>0</v>
      </c>
      <c r="I63" s="409"/>
      <c r="J63" s="406"/>
      <c r="K63" s="264"/>
    </row>
    <row r="64" spans="1:11" x14ac:dyDescent="0.25">
      <c r="A64" s="400" t="s">
        <v>392</v>
      </c>
      <c r="B64" s="416" t="s">
        <v>2516</v>
      </c>
      <c r="C64" s="400"/>
      <c r="D64" s="406" t="s">
        <v>2105</v>
      </c>
      <c r="E64" s="407">
        <v>1</v>
      </c>
      <c r="F64" s="407" t="s">
        <v>26</v>
      </c>
      <c r="G64" s="408"/>
      <c r="H64" s="407">
        <f t="shared" si="2"/>
        <v>0</v>
      </c>
      <c r="I64" s="409"/>
      <c r="J64" s="406"/>
      <c r="K64" s="264"/>
    </row>
    <row r="65" spans="1:11" x14ac:dyDescent="0.25">
      <c r="A65" s="400"/>
      <c r="B65" s="416"/>
      <c r="C65" s="400"/>
      <c r="D65" s="404"/>
      <c r="E65" s="400"/>
      <c r="F65" s="400"/>
      <c r="G65" s="400"/>
      <c r="H65" s="400"/>
      <c r="I65" s="401"/>
      <c r="J65" s="404"/>
      <c r="K65" s="264"/>
    </row>
    <row r="66" spans="1:11" ht="51.6" customHeight="1" x14ac:dyDescent="0.25">
      <c r="A66" s="400"/>
      <c r="B66" s="416"/>
      <c r="C66" s="1029" t="s">
        <v>2106</v>
      </c>
      <c r="D66" s="1029"/>
      <c r="E66" s="400">
        <f>+E50</f>
        <v>3</v>
      </c>
      <c r="F66" s="400" t="s">
        <v>26</v>
      </c>
      <c r="G66" s="400"/>
      <c r="H66" s="400"/>
      <c r="I66" s="401">
        <f>+E66*G66</f>
        <v>0</v>
      </c>
      <c r="J66" s="404" t="s">
        <v>2138</v>
      </c>
      <c r="K66" s="264"/>
    </row>
    <row r="67" spans="1:11" x14ac:dyDescent="0.25">
      <c r="A67" s="400" t="s">
        <v>392</v>
      </c>
      <c r="B67" s="416" t="s">
        <v>2518</v>
      </c>
      <c r="C67" s="400"/>
      <c r="D67" s="406" t="s">
        <v>2110</v>
      </c>
      <c r="E67" s="407">
        <v>1</v>
      </c>
      <c r="F67" s="407" t="s">
        <v>26</v>
      </c>
      <c r="G67" s="408"/>
      <c r="H67" s="407">
        <f>+E67*G67</f>
        <v>0</v>
      </c>
      <c r="I67" s="409"/>
      <c r="J67" s="406" t="s">
        <v>2126</v>
      </c>
      <c r="K67" s="264"/>
    </row>
    <row r="68" spans="1:11" x14ac:dyDescent="0.25">
      <c r="A68" s="400" t="s">
        <v>392</v>
      </c>
      <c r="B68" s="416" t="s">
        <v>2521</v>
      </c>
      <c r="C68" s="400"/>
      <c r="D68" s="406" t="s">
        <v>2115</v>
      </c>
      <c r="E68" s="407">
        <v>1</v>
      </c>
      <c r="F68" s="407" t="s">
        <v>15</v>
      </c>
      <c r="G68" s="408"/>
      <c r="H68" s="407">
        <f>+E68*G68</f>
        <v>0</v>
      </c>
      <c r="I68" s="409"/>
      <c r="J68" s="406"/>
      <c r="K68" s="264"/>
    </row>
    <row r="69" spans="1:11" x14ac:dyDescent="0.25">
      <c r="A69" s="400"/>
      <c r="B69" s="416"/>
      <c r="C69" s="403"/>
      <c r="D69" s="404"/>
      <c r="E69" s="400"/>
      <c r="F69" s="400"/>
      <c r="G69" s="400"/>
      <c r="H69" s="400"/>
      <c r="I69" s="401"/>
      <c r="J69" s="404"/>
      <c r="K69" s="264"/>
    </row>
    <row r="70" spans="1:11" ht="118.95" customHeight="1" x14ac:dyDescent="0.25">
      <c r="A70" s="400"/>
      <c r="B70" s="416"/>
      <c r="C70" s="1029" t="s">
        <v>2139</v>
      </c>
      <c r="D70" s="1029"/>
      <c r="E70" s="400">
        <v>4</v>
      </c>
      <c r="F70" s="400" t="s">
        <v>15</v>
      </c>
      <c r="G70" s="405"/>
      <c r="H70" s="400"/>
      <c r="I70" s="401">
        <f>+E70*G70</f>
        <v>0</v>
      </c>
      <c r="J70" s="404" t="s">
        <v>2140</v>
      </c>
      <c r="K70" s="264"/>
    </row>
    <row r="71" spans="1:11" ht="26.4" x14ac:dyDescent="0.25">
      <c r="A71" s="400" t="s">
        <v>392</v>
      </c>
      <c r="B71" s="416" t="s">
        <v>2527</v>
      </c>
      <c r="C71" s="400"/>
      <c r="D71" s="406" t="s">
        <v>217</v>
      </c>
      <c r="E71" s="407">
        <v>0.15</v>
      </c>
      <c r="F71" s="407" t="s">
        <v>2</v>
      </c>
      <c r="G71" s="408"/>
      <c r="H71" s="407">
        <f t="shared" ref="H71:H80" si="3">+E71*G71</f>
        <v>0</v>
      </c>
      <c r="I71" s="409"/>
      <c r="J71" s="406"/>
      <c r="K71" s="264"/>
    </row>
    <row r="72" spans="1:11" x14ac:dyDescent="0.25">
      <c r="A72" s="400" t="s">
        <v>298</v>
      </c>
      <c r="B72" s="416"/>
      <c r="C72" s="400"/>
      <c r="D72" s="406" t="s">
        <v>2141</v>
      </c>
      <c r="E72" s="407">
        <v>0.15</v>
      </c>
      <c r="F72" s="407" t="s">
        <v>2</v>
      </c>
      <c r="G72" s="408"/>
      <c r="H72" s="407">
        <f t="shared" si="3"/>
        <v>0</v>
      </c>
      <c r="I72" s="409"/>
      <c r="J72" s="406"/>
      <c r="K72" s="264"/>
    </row>
    <row r="73" spans="1:11" ht="26.4" x14ac:dyDescent="0.25">
      <c r="A73" s="400" t="s">
        <v>392</v>
      </c>
      <c r="B73" s="416" t="s">
        <v>2528</v>
      </c>
      <c r="C73" s="400"/>
      <c r="D73" s="406" t="s">
        <v>218</v>
      </c>
      <c r="E73" s="407">
        <v>1</v>
      </c>
      <c r="F73" s="407" t="s">
        <v>15</v>
      </c>
      <c r="G73" s="408"/>
      <c r="H73" s="407">
        <f t="shared" si="3"/>
        <v>0</v>
      </c>
      <c r="I73" s="409"/>
      <c r="J73" s="406"/>
      <c r="K73" s="264"/>
    </row>
    <row r="74" spans="1:11" ht="26.4" x14ac:dyDescent="0.25">
      <c r="A74" s="400" t="s">
        <v>392</v>
      </c>
      <c r="B74" s="416" t="s">
        <v>2529</v>
      </c>
      <c r="C74" s="400"/>
      <c r="D74" s="406" t="s">
        <v>2142</v>
      </c>
      <c r="E74" s="407">
        <v>3</v>
      </c>
      <c r="F74" s="407" t="s">
        <v>26</v>
      </c>
      <c r="G74" s="408"/>
      <c r="H74" s="407">
        <f t="shared" si="3"/>
        <v>0</v>
      </c>
      <c r="I74" s="409"/>
      <c r="J74" s="406"/>
      <c r="K74" s="264"/>
    </row>
    <row r="75" spans="1:11" x14ac:dyDescent="0.25">
      <c r="A75" s="400" t="s">
        <v>392</v>
      </c>
      <c r="B75" s="416" t="s">
        <v>2530</v>
      </c>
      <c r="C75" s="400"/>
      <c r="D75" s="406" t="s">
        <v>2143</v>
      </c>
      <c r="E75" s="407">
        <v>3</v>
      </c>
      <c r="F75" s="407" t="s">
        <v>26</v>
      </c>
      <c r="G75" s="408"/>
      <c r="H75" s="407">
        <f t="shared" si="3"/>
        <v>0</v>
      </c>
      <c r="I75" s="409"/>
      <c r="J75" s="406"/>
      <c r="K75" s="264"/>
    </row>
    <row r="76" spans="1:11" ht="39.6" x14ac:dyDescent="0.25">
      <c r="A76" s="400" t="s">
        <v>298</v>
      </c>
      <c r="B76" s="416"/>
      <c r="C76" s="400"/>
      <c r="D76" s="406" t="s">
        <v>2144</v>
      </c>
      <c r="E76" s="407">
        <v>3</v>
      </c>
      <c r="F76" s="407" t="s">
        <v>26</v>
      </c>
      <c r="G76" s="408"/>
      <c r="H76" s="407">
        <f t="shared" si="3"/>
        <v>0</v>
      </c>
      <c r="I76" s="409"/>
      <c r="J76" s="410" t="s">
        <v>2145</v>
      </c>
      <c r="K76" s="264"/>
    </row>
    <row r="77" spans="1:11" ht="26.4" x14ac:dyDescent="0.25">
      <c r="A77" s="400" t="s">
        <v>392</v>
      </c>
      <c r="B77" s="416" t="s">
        <v>2510</v>
      </c>
      <c r="C77" s="400"/>
      <c r="D77" s="406" t="s">
        <v>2146</v>
      </c>
      <c r="E77" s="407">
        <v>0.03</v>
      </c>
      <c r="F77" s="407" t="s">
        <v>51</v>
      </c>
      <c r="G77" s="408"/>
      <c r="H77" s="407">
        <f t="shared" si="3"/>
        <v>0</v>
      </c>
      <c r="I77" s="409"/>
      <c r="J77" s="406"/>
      <c r="K77" s="264"/>
    </row>
    <row r="78" spans="1:11" ht="26.4" x14ac:dyDescent="0.25">
      <c r="A78" s="400" t="s">
        <v>298</v>
      </c>
      <c r="B78" s="416"/>
      <c r="C78" s="400"/>
      <c r="D78" s="406" t="s">
        <v>2094</v>
      </c>
      <c r="E78" s="407">
        <v>0.03</v>
      </c>
      <c r="F78" s="407" t="s">
        <v>51</v>
      </c>
      <c r="G78" s="408"/>
      <c r="H78" s="407">
        <f t="shared" si="3"/>
        <v>0</v>
      </c>
      <c r="I78" s="409"/>
      <c r="J78" s="406"/>
      <c r="K78" s="264"/>
    </row>
    <row r="79" spans="1:11" x14ac:dyDescent="0.25">
      <c r="A79" s="400" t="s">
        <v>392</v>
      </c>
      <c r="B79" s="416" t="s">
        <v>2514</v>
      </c>
      <c r="C79" s="400"/>
      <c r="D79" s="406" t="s">
        <v>2147</v>
      </c>
      <c r="E79" s="407">
        <v>1</v>
      </c>
      <c r="F79" s="407" t="s">
        <v>15</v>
      </c>
      <c r="G79" s="408"/>
      <c r="H79" s="407">
        <f t="shared" si="3"/>
        <v>0</v>
      </c>
      <c r="I79" s="409"/>
      <c r="J79" s="406"/>
      <c r="K79" s="264"/>
    </row>
    <row r="80" spans="1:11" x14ac:dyDescent="0.25">
      <c r="A80" s="400" t="s">
        <v>298</v>
      </c>
      <c r="B80" s="416"/>
      <c r="C80" s="400"/>
      <c r="D80" s="406" t="s">
        <v>2148</v>
      </c>
      <c r="E80" s="407">
        <v>0.05</v>
      </c>
      <c r="F80" s="407" t="s">
        <v>2</v>
      </c>
      <c r="G80" s="408"/>
      <c r="H80" s="407">
        <f t="shared" si="3"/>
        <v>0</v>
      </c>
      <c r="I80" s="409"/>
      <c r="J80" s="406"/>
      <c r="K80" s="264"/>
    </row>
    <row r="81" spans="1:11" x14ac:dyDescent="0.25">
      <c r="A81" s="400"/>
      <c r="B81" s="416"/>
      <c r="C81" s="400"/>
      <c r="D81" s="400"/>
      <c r="E81" s="400"/>
      <c r="F81" s="400"/>
      <c r="G81" s="400"/>
      <c r="H81" s="400"/>
      <c r="I81" s="400"/>
      <c r="J81" s="400"/>
      <c r="K81" s="264"/>
    </row>
    <row r="82" spans="1:11" ht="49.2" customHeight="1" x14ac:dyDescent="0.25">
      <c r="A82" s="400"/>
      <c r="B82" s="416"/>
      <c r="C82" s="1029" t="s">
        <v>2149</v>
      </c>
      <c r="D82" s="1029"/>
      <c r="E82" s="400">
        <f>+E70</f>
        <v>4</v>
      </c>
      <c r="F82" s="400" t="s">
        <v>15</v>
      </c>
      <c r="G82" s="400"/>
      <c r="H82" s="400"/>
      <c r="I82" s="401">
        <f>+E82*G82</f>
        <v>0</v>
      </c>
      <c r="J82" s="404" t="s">
        <v>2150</v>
      </c>
      <c r="K82" s="264"/>
    </row>
    <row r="83" spans="1:11" ht="26.4" x14ac:dyDescent="0.25">
      <c r="A83" s="400" t="s">
        <v>392</v>
      </c>
      <c r="B83" s="416" t="s">
        <v>2531</v>
      </c>
      <c r="C83" s="400"/>
      <c r="D83" s="406" t="s">
        <v>2151</v>
      </c>
      <c r="E83" s="407">
        <v>0.60000000000000009</v>
      </c>
      <c r="F83" s="407" t="s">
        <v>15</v>
      </c>
      <c r="G83" s="408"/>
      <c r="H83" s="407">
        <f>+E83*G83</f>
        <v>0</v>
      </c>
      <c r="I83" s="409"/>
      <c r="J83" s="406" t="s">
        <v>2109</v>
      </c>
      <c r="K83" s="264"/>
    </row>
    <row r="84" spans="1:11" x14ac:dyDescent="0.25">
      <c r="A84" s="400" t="s">
        <v>392</v>
      </c>
      <c r="B84" s="416" t="s">
        <v>2532</v>
      </c>
      <c r="C84" s="400"/>
      <c r="D84" s="406" t="s">
        <v>221</v>
      </c>
      <c r="E84" s="407">
        <f>16*0.02+16*0.02+8*0.02</f>
        <v>0.8</v>
      </c>
      <c r="F84" s="407" t="s">
        <v>2</v>
      </c>
      <c r="G84" s="408"/>
      <c r="H84" s="407">
        <f>+E84*G84</f>
        <v>0</v>
      </c>
      <c r="I84" s="409"/>
      <c r="J84" s="406" t="s">
        <v>2152</v>
      </c>
      <c r="K84" s="264"/>
    </row>
    <row r="85" spans="1:11" x14ac:dyDescent="0.25">
      <c r="A85" s="400"/>
      <c r="B85" s="416"/>
      <c r="C85" s="403"/>
      <c r="D85" s="404"/>
      <c r="E85" s="400"/>
      <c r="F85" s="400"/>
      <c r="G85" s="400"/>
      <c r="H85" s="400"/>
      <c r="I85" s="401"/>
      <c r="J85" s="404"/>
      <c r="K85" s="264"/>
    </row>
    <row r="86" spans="1:11" ht="112.95" customHeight="1" x14ac:dyDescent="0.25">
      <c r="A86" s="400"/>
      <c r="B86" s="416"/>
      <c r="C86" s="1029" t="s">
        <v>2153</v>
      </c>
      <c r="D86" s="1029"/>
      <c r="E86" s="400">
        <v>117</v>
      </c>
      <c r="F86" s="400" t="s">
        <v>15</v>
      </c>
      <c r="G86" s="405"/>
      <c r="H86" s="400"/>
      <c r="I86" s="401">
        <f>+E86*G86</f>
        <v>0</v>
      </c>
      <c r="J86" s="404" t="s">
        <v>2154</v>
      </c>
      <c r="K86" s="264"/>
    </row>
    <row r="87" spans="1:11" ht="26.4" x14ac:dyDescent="0.25">
      <c r="A87" s="400" t="s">
        <v>392</v>
      </c>
      <c r="B87" s="416" t="s">
        <v>2527</v>
      </c>
      <c r="C87" s="400"/>
      <c r="D87" s="406" t="s">
        <v>217</v>
      </c>
      <c r="E87" s="407">
        <v>0.15</v>
      </c>
      <c r="F87" s="407" t="s">
        <v>2</v>
      </c>
      <c r="G87" s="408"/>
      <c r="H87" s="407">
        <f t="shared" ref="H87:H96" si="4">+E87*G87</f>
        <v>0</v>
      </c>
      <c r="I87" s="409"/>
      <c r="J87" s="406"/>
      <c r="K87" s="264"/>
    </row>
    <row r="88" spans="1:11" x14ac:dyDescent="0.25">
      <c r="A88" s="400" t="s">
        <v>298</v>
      </c>
      <c r="B88" s="416"/>
      <c r="C88" s="400"/>
      <c r="D88" s="406" t="s">
        <v>2141</v>
      </c>
      <c r="E88" s="407">
        <v>0.15</v>
      </c>
      <c r="F88" s="407" t="s">
        <v>2</v>
      </c>
      <c r="G88" s="408"/>
      <c r="H88" s="407">
        <f t="shared" si="4"/>
        <v>0</v>
      </c>
      <c r="I88" s="409"/>
      <c r="J88" s="406"/>
      <c r="K88" s="264"/>
    </row>
    <row r="89" spans="1:11" ht="26.4" x14ac:dyDescent="0.25">
      <c r="A89" s="400" t="s">
        <v>392</v>
      </c>
      <c r="B89" s="416" t="s">
        <v>2528</v>
      </c>
      <c r="C89" s="400"/>
      <c r="D89" s="406" t="s">
        <v>218</v>
      </c>
      <c r="E89" s="407">
        <v>1</v>
      </c>
      <c r="F89" s="407" t="s">
        <v>15</v>
      </c>
      <c r="G89" s="408"/>
      <c r="H89" s="407">
        <f t="shared" si="4"/>
        <v>0</v>
      </c>
      <c r="I89" s="409"/>
      <c r="J89" s="406"/>
      <c r="K89" s="264"/>
    </row>
    <row r="90" spans="1:11" ht="26.4" x14ac:dyDescent="0.25">
      <c r="A90" s="400" t="s">
        <v>392</v>
      </c>
      <c r="B90" s="416" t="s">
        <v>2529</v>
      </c>
      <c r="C90" s="400"/>
      <c r="D90" s="406" t="s">
        <v>2142</v>
      </c>
      <c r="E90" s="407">
        <v>5</v>
      </c>
      <c r="F90" s="407" t="s">
        <v>26</v>
      </c>
      <c r="G90" s="408"/>
      <c r="H90" s="407">
        <f t="shared" si="4"/>
        <v>0</v>
      </c>
      <c r="I90" s="409"/>
      <c r="J90" s="406"/>
      <c r="K90" s="264"/>
    </row>
    <row r="91" spans="1:11" x14ac:dyDescent="0.25">
      <c r="A91" s="400" t="s">
        <v>392</v>
      </c>
      <c r="B91" s="416" t="s">
        <v>2530</v>
      </c>
      <c r="C91" s="400"/>
      <c r="D91" s="406" t="s">
        <v>2143</v>
      </c>
      <c r="E91" s="407">
        <v>5</v>
      </c>
      <c r="F91" s="407" t="s">
        <v>26</v>
      </c>
      <c r="G91" s="408"/>
      <c r="H91" s="407">
        <f t="shared" si="4"/>
        <v>0</v>
      </c>
      <c r="I91" s="409"/>
      <c r="J91" s="406"/>
      <c r="K91" s="264"/>
    </row>
    <row r="92" spans="1:11" ht="290.39999999999998" x14ac:dyDescent="0.25">
      <c r="A92" s="400" t="s">
        <v>298</v>
      </c>
      <c r="B92" s="416"/>
      <c r="C92" s="400"/>
      <c r="D92" s="406" t="s">
        <v>2144</v>
      </c>
      <c r="E92" s="407">
        <v>5</v>
      </c>
      <c r="F92" s="407" t="s">
        <v>26</v>
      </c>
      <c r="G92" s="408"/>
      <c r="H92" s="407">
        <f t="shared" si="4"/>
        <v>0</v>
      </c>
      <c r="I92" s="409"/>
      <c r="J92" s="410" t="s">
        <v>2155</v>
      </c>
      <c r="K92" s="264"/>
    </row>
    <row r="93" spans="1:11" ht="26.4" x14ac:dyDescent="0.25">
      <c r="A93" s="400" t="s">
        <v>392</v>
      </c>
      <c r="B93" s="416" t="s">
        <v>2510</v>
      </c>
      <c r="C93" s="400"/>
      <c r="D93" s="406" t="s">
        <v>2146</v>
      </c>
      <c r="E93" s="407">
        <v>0.05</v>
      </c>
      <c r="F93" s="407" t="s">
        <v>51</v>
      </c>
      <c r="G93" s="408"/>
      <c r="H93" s="407">
        <f t="shared" si="4"/>
        <v>0</v>
      </c>
      <c r="I93" s="409"/>
      <c r="J93" s="406"/>
      <c r="K93" s="264"/>
    </row>
    <row r="94" spans="1:11" ht="26.4" x14ac:dyDescent="0.25">
      <c r="A94" s="400" t="s">
        <v>298</v>
      </c>
      <c r="B94" s="416"/>
      <c r="C94" s="400"/>
      <c r="D94" s="406" t="s">
        <v>2094</v>
      </c>
      <c r="E94" s="407">
        <v>0.05</v>
      </c>
      <c r="F94" s="407" t="s">
        <v>51</v>
      </c>
      <c r="G94" s="408"/>
      <c r="H94" s="407">
        <f t="shared" si="4"/>
        <v>0</v>
      </c>
      <c r="I94" s="409"/>
      <c r="J94" s="406"/>
      <c r="K94" s="264"/>
    </row>
    <row r="95" spans="1:11" x14ac:dyDescent="0.25">
      <c r="A95" s="400" t="s">
        <v>392</v>
      </c>
      <c r="B95" s="416" t="s">
        <v>2514</v>
      </c>
      <c r="C95" s="400"/>
      <c r="D95" s="406" t="s">
        <v>2147</v>
      </c>
      <c r="E95" s="407">
        <v>1</v>
      </c>
      <c r="F95" s="407" t="s">
        <v>15</v>
      </c>
      <c r="G95" s="408"/>
      <c r="H95" s="407">
        <f t="shared" si="4"/>
        <v>0</v>
      </c>
      <c r="I95" s="409"/>
      <c r="J95" s="406"/>
      <c r="K95" s="264"/>
    </row>
    <row r="96" spans="1:11" x14ac:dyDescent="0.25">
      <c r="A96" s="400" t="s">
        <v>298</v>
      </c>
      <c r="B96" s="416"/>
      <c r="C96" s="400"/>
      <c r="D96" s="406" t="s">
        <v>2148</v>
      </c>
      <c r="E96" s="407">
        <v>0.05</v>
      </c>
      <c r="F96" s="407" t="s">
        <v>2</v>
      </c>
      <c r="G96" s="408"/>
      <c r="H96" s="407">
        <f t="shared" si="4"/>
        <v>0</v>
      </c>
      <c r="I96" s="409"/>
      <c r="J96" s="406"/>
      <c r="K96" s="264"/>
    </row>
    <row r="97" spans="1:11" x14ac:dyDescent="0.25">
      <c r="A97" s="400"/>
      <c r="B97" s="416"/>
      <c r="C97" s="400"/>
      <c r="D97" s="400"/>
      <c r="E97" s="400"/>
      <c r="F97" s="400"/>
      <c r="G97" s="400"/>
      <c r="H97" s="400"/>
      <c r="I97" s="400"/>
      <c r="J97" s="400"/>
      <c r="K97" s="264"/>
    </row>
    <row r="98" spans="1:11" ht="95.4" customHeight="1" x14ac:dyDescent="0.25">
      <c r="A98" s="400"/>
      <c r="B98" s="416"/>
      <c r="C98" s="1029" t="s">
        <v>2149</v>
      </c>
      <c r="D98" s="1029"/>
      <c r="E98" s="400">
        <f>+E86</f>
        <v>117</v>
      </c>
      <c r="F98" s="400" t="s">
        <v>15</v>
      </c>
      <c r="G98" s="400"/>
      <c r="H98" s="400"/>
      <c r="I98" s="401">
        <f>+E98*G98</f>
        <v>0</v>
      </c>
      <c r="J98" s="404" t="s">
        <v>2156</v>
      </c>
      <c r="K98" s="264"/>
    </row>
    <row r="99" spans="1:11" ht="26.4" x14ac:dyDescent="0.25">
      <c r="A99" s="400" t="s">
        <v>392</v>
      </c>
      <c r="B99" s="416" t="s">
        <v>2531</v>
      </c>
      <c r="C99" s="400"/>
      <c r="D99" s="406" t="s">
        <v>2151</v>
      </c>
      <c r="E99" s="407">
        <v>0.60000000000000009</v>
      </c>
      <c r="F99" s="407" t="s">
        <v>15</v>
      </c>
      <c r="G99" s="408"/>
      <c r="H99" s="407">
        <f>+E99*G99</f>
        <v>0</v>
      </c>
      <c r="I99" s="409"/>
      <c r="J99" s="406" t="s">
        <v>2109</v>
      </c>
      <c r="K99" s="264"/>
    </row>
    <row r="100" spans="1:11" x14ac:dyDescent="0.25">
      <c r="A100" s="400" t="s">
        <v>392</v>
      </c>
      <c r="B100" s="416" t="s">
        <v>2532</v>
      </c>
      <c r="C100" s="400"/>
      <c r="D100" s="406" t="s">
        <v>221</v>
      </c>
      <c r="E100" s="407">
        <f>16*0.02+16*0.02+8*0.02</f>
        <v>0.8</v>
      </c>
      <c r="F100" s="407" t="s">
        <v>2</v>
      </c>
      <c r="G100" s="408"/>
      <c r="H100" s="407">
        <f>+E100*G100</f>
        <v>0</v>
      </c>
      <c r="I100" s="409"/>
      <c r="J100" s="406" t="s">
        <v>2152</v>
      </c>
      <c r="K100" s="264"/>
    </row>
    <row r="101" spans="1:11" x14ac:dyDescent="0.25">
      <c r="A101" s="400"/>
      <c r="B101" s="416"/>
      <c r="C101" s="403"/>
      <c r="D101" s="403"/>
      <c r="E101" s="400"/>
      <c r="F101" s="400"/>
      <c r="G101" s="405"/>
      <c r="H101" s="400"/>
      <c r="I101" s="401"/>
      <c r="J101" s="404"/>
      <c r="K101" s="264"/>
    </row>
    <row r="102" spans="1:11" ht="111.6" customHeight="1" x14ac:dyDescent="0.25">
      <c r="A102" s="400"/>
      <c r="B102" s="416"/>
      <c r="C102" s="1025" t="s">
        <v>2157</v>
      </c>
      <c r="D102" s="1025"/>
      <c r="E102" s="400">
        <v>235</v>
      </c>
      <c r="F102" s="400" t="s">
        <v>15</v>
      </c>
      <c r="G102" s="405"/>
      <c r="H102" s="400"/>
      <c r="I102" s="401">
        <f>+E102*G102</f>
        <v>0</v>
      </c>
      <c r="J102" s="404" t="s">
        <v>2158</v>
      </c>
      <c r="K102" s="264"/>
    </row>
    <row r="103" spans="1:11" ht="26.4" x14ac:dyDescent="0.25">
      <c r="A103" s="400" t="s">
        <v>392</v>
      </c>
      <c r="B103" s="416" t="s">
        <v>2527</v>
      </c>
      <c r="C103" s="400"/>
      <c r="D103" s="406" t="s">
        <v>217</v>
      </c>
      <c r="E103" s="407">
        <v>0.15</v>
      </c>
      <c r="F103" s="407" t="s">
        <v>2</v>
      </c>
      <c r="G103" s="408"/>
      <c r="H103" s="407">
        <f t="shared" ref="H103:H112" si="5">+E103*G103</f>
        <v>0</v>
      </c>
      <c r="I103" s="409"/>
      <c r="J103" s="406"/>
      <c r="K103" s="264"/>
    </row>
    <row r="104" spans="1:11" x14ac:dyDescent="0.25">
      <c r="A104" s="400" t="s">
        <v>298</v>
      </c>
      <c r="B104" s="416"/>
      <c r="C104" s="400"/>
      <c r="D104" s="406" t="s">
        <v>2141</v>
      </c>
      <c r="E104" s="407">
        <v>0.15</v>
      </c>
      <c r="F104" s="407" t="s">
        <v>2</v>
      </c>
      <c r="G104" s="408"/>
      <c r="H104" s="407">
        <f t="shared" si="5"/>
        <v>0</v>
      </c>
      <c r="I104" s="409"/>
      <c r="J104" s="406"/>
      <c r="K104" s="264"/>
    </row>
    <row r="105" spans="1:11" ht="26.4" x14ac:dyDescent="0.25">
      <c r="A105" s="400" t="s">
        <v>392</v>
      </c>
      <c r="B105" s="416" t="s">
        <v>2528</v>
      </c>
      <c r="C105" s="400"/>
      <c r="D105" s="406" t="s">
        <v>218</v>
      </c>
      <c r="E105" s="407">
        <v>1</v>
      </c>
      <c r="F105" s="407" t="s">
        <v>15</v>
      </c>
      <c r="G105" s="408"/>
      <c r="H105" s="407">
        <f t="shared" si="5"/>
        <v>0</v>
      </c>
      <c r="I105" s="409"/>
      <c r="J105" s="406"/>
      <c r="K105" s="264"/>
    </row>
    <row r="106" spans="1:11" ht="26.4" x14ac:dyDescent="0.25">
      <c r="A106" s="400" t="s">
        <v>392</v>
      </c>
      <c r="B106" s="416" t="s">
        <v>2529</v>
      </c>
      <c r="C106" s="400"/>
      <c r="D106" s="406" t="s">
        <v>2142</v>
      </c>
      <c r="E106" s="407">
        <v>7</v>
      </c>
      <c r="F106" s="407" t="s">
        <v>26</v>
      </c>
      <c r="G106" s="408"/>
      <c r="H106" s="407">
        <f t="shared" si="5"/>
        <v>0</v>
      </c>
      <c r="I106" s="409"/>
      <c r="J106" s="406"/>
      <c r="K106" s="264"/>
    </row>
    <row r="107" spans="1:11" ht="26.4" x14ac:dyDescent="0.25">
      <c r="A107" s="400" t="s">
        <v>392</v>
      </c>
      <c r="B107" s="416" t="s">
        <v>2533</v>
      </c>
      <c r="C107" s="400"/>
      <c r="D107" s="406" t="s">
        <v>2159</v>
      </c>
      <c r="E107" s="407">
        <f>+E106</f>
        <v>7</v>
      </c>
      <c r="F107" s="407" t="s">
        <v>26</v>
      </c>
      <c r="G107" s="408"/>
      <c r="H107" s="407">
        <f t="shared" si="5"/>
        <v>0</v>
      </c>
      <c r="I107" s="409"/>
      <c r="J107" s="406"/>
      <c r="K107" s="264"/>
    </row>
    <row r="108" spans="1:11" ht="26.4" x14ac:dyDescent="0.25">
      <c r="A108" t="s">
        <v>298</v>
      </c>
      <c r="B108" s="416"/>
      <c r="C108" s="400"/>
      <c r="D108" s="406" t="s">
        <v>2094</v>
      </c>
      <c r="E108" s="407">
        <v>7.0000000000000007E-2</v>
      </c>
      <c r="F108" s="407" t="s">
        <v>51</v>
      </c>
      <c r="G108" s="408"/>
      <c r="H108" s="407">
        <f t="shared" si="5"/>
        <v>0</v>
      </c>
      <c r="I108" s="409"/>
      <c r="J108" s="406"/>
      <c r="K108" s="264"/>
    </row>
    <row r="109" spans="1:11" ht="26.4" x14ac:dyDescent="0.25">
      <c r="A109" s="400" t="s">
        <v>392</v>
      </c>
      <c r="B109" s="416" t="s">
        <v>2510</v>
      </c>
      <c r="C109" s="400"/>
      <c r="D109" s="406" t="s">
        <v>2146</v>
      </c>
      <c r="E109" s="407">
        <v>7.0000000000000007E-2</v>
      </c>
      <c r="F109" s="407" t="s">
        <v>51</v>
      </c>
      <c r="G109" s="408"/>
      <c r="H109" s="407">
        <f t="shared" si="5"/>
        <v>0</v>
      </c>
      <c r="I109" s="409"/>
      <c r="J109" s="406"/>
      <c r="K109" s="264"/>
    </row>
    <row r="110" spans="1:11" ht="409.6" x14ac:dyDescent="0.25">
      <c r="A110" s="400"/>
      <c r="B110" s="416"/>
      <c r="C110" s="400"/>
      <c r="D110" s="406" t="s">
        <v>2160</v>
      </c>
      <c r="E110" s="407">
        <v>7</v>
      </c>
      <c r="F110" s="407" t="s">
        <v>26</v>
      </c>
      <c r="G110" s="408"/>
      <c r="H110" s="407">
        <f t="shared" si="5"/>
        <v>0</v>
      </c>
      <c r="I110" s="409"/>
      <c r="J110" s="406" t="s">
        <v>2161</v>
      </c>
      <c r="K110" s="264"/>
    </row>
    <row r="111" spans="1:11" x14ac:dyDescent="0.25">
      <c r="A111" s="400" t="s">
        <v>392</v>
      </c>
      <c r="B111" s="416" t="s">
        <v>2514</v>
      </c>
      <c r="C111" s="400"/>
      <c r="D111" s="406" t="s">
        <v>2147</v>
      </c>
      <c r="E111" s="407">
        <v>1</v>
      </c>
      <c r="F111" s="407" t="s">
        <v>15</v>
      </c>
      <c r="G111" s="408"/>
      <c r="H111" s="407">
        <f t="shared" si="5"/>
        <v>0</v>
      </c>
      <c r="I111" s="409"/>
      <c r="J111" s="406"/>
      <c r="K111" s="264"/>
    </row>
    <row r="112" spans="1:11" x14ac:dyDescent="0.25">
      <c r="A112" s="400" t="s">
        <v>298</v>
      </c>
      <c r="B112" s="416"/>
      <c r="C112" s="400"/>
      <c r="D112" s="406" t="s">
        <v>2148</v>
      </c>
      <c r="E112" s="407">
        <v>0.05</v>
      </c>
      <c r="F112" s="407" t="s">
        <v>2</v>
      </c>
      <c r="G112" s="408"/>
      <c r="H112" s="407">
        <f t="shared" si="5"/>
        <v>0</v>
      </c>
      <c r="I112" s="409"/>
      <c r="J112" s="406"/>
      <c r="K112" s="264"/>
    </row>
    <row r="113" spans="1:11" x14ac:dyDescent="0.25">
      <c r="A113" s="400"/>
      <c r="B113" s="416"/>
      <c r="C113" s="403"/>
      <c r="D113" s="403"/>
      <c r="E113" s="400"/>
      <c r="F113" s="400"/>
      <c r="G113" s="405"/>
      <c r="H113" s="400"/>
      <c r="I113" s="401"/>
      <c r="J113" s="404"/>
      <c r="K113" s="264"/>
    </row>
    <row r="114" spans="1:11" ht="84.6" customHeight="1" x14ac:dyDescent="0.25">
      <c r="A114" s="400"/>
      <c r="B114" s="416"/>
      <c r="C114" s="1029" t="s">
        <v>2162</v>
      </c>
      <c r="D114" s="1029"/>
      <c r="E114" s="400">
        <f>+E104</f>
        <v>0.15</v>
      </c>
      <c r="F114" s="400" t="s">
        <v>15</v>
      </c>
      <c r="G114" s="400"/>
      <c r="H114" s="400"/>
      <c r="I114" s="401">
        <f>+E114*G114</f>
        <v>0</v>
      </c>
      <c r="J114" s="404" t="s">
        <v>2163</v>
      </c>
      <c r="K114" s="264"/>
    </row>
    <row r="115" spans="1:11" ht="26.4" x14ac:dyDescent="0.25">
      <c r="A115" s="400" t="s">
        <v>392</v>
      </c>
      <c r="B115" s="416" t="s">
        <v>2531</v>
      </c>
      <c r="C115" s="400"/>
      <c r="D115" s="406" t="s">
        <v>2151</v>
      </c>
      <c r="E115" s="407">
        <v>0.60000000000000009</v>
      </c>
      <c r="F115" s="407" t="s">
        <v>15</v>
      </c>
      <c r="G115" s="408"/>
      <c r="H115" s="407">
        <f>+E115*G115</f>
        <v>0</v>
      </c>
      <c r="I115" s="409"/>
      <c r="J115" s="406" t="s">
        <v>2109</v>
      </c>
      <c r="K115" s="264"/>
    </row>
    <row r="116" spans="1:11" x14ac:dyDescent="0.25">
      <c r="A116" s="400" t="s">
        <v>392</v>
      </c>
      <c r="B116" s="416" t="s">
        <v>2532</v>
      </c>
      <c r="C116" s="400"/>
      <c r="D116" s="406" t="s">
        <v>221</v>
      </c>
      <c r="E116" s="407">
        <f>0.02*16</f>
        <v>0.32</v>
      </c>
      <c r="F116" s="407" t="s">
        <v>2</v>
      </c>
      <c r="G116" s="408"/>
      <c r="H116" s="407">
        <f>+E116*G116</f>
        <v>0</v>
      </c>
      <c r="I116" s="409"/>
      <c r="J116" s="406" t="s">
        <v>2152</v>
      </c>
      <c r="K116" s="264"/>
    </row>
    <row r="117" spans="1:11" x14ac:dyDescent="0.25">
      <c r="A117" s="400"/>
      <c r="B117" s="416"/>
      <c r="C117" s="403"/>
      <c r="D117" s="403"/>
      <c r="E117" s="400"/>
      <c r="F117" s="400"/>
      <c r="G117" s="405"/>
      <c r="H117" s="400"/>
      <c r="I117" s="401"/>
      <c r="J117" s="404"/>
      <c r="K117" s="264"/>
    </row>
    <row r="118" spans="1:11" ht="54.6" customHeight="1" x14ac:dyDescent="0.25">
      <c r="A118" s="400"/>
      <c r="B118" s="416"/>
      <c r="C118" s="1029" t="s">
        <v>2164</v>
      </c>
      <c r="D118" s="1029"/>
      <c r="E118" s="400">
        <v>661</v>
      </c>
      <c r="F118" s="400" t="s">
        <v>15</v>
      </c>
      <c r="G118" s="405"/>
      <c r="H118" s="400"/>
      <c r="I118" s="401">
        <f>+E118*G118</f>
        <v>0</v>
      </c>
      <c r="J118" s="404" t="s">
        <v>2165</v>
      </c>
      <c r="K118" s="264"/>
    </row>
    <row r="119" spans="1:11" ht="26.4" x14ac:dyDescent="0.25">
      <c r="A119" s="400" t="s">
        <v>392</v>
      </c>
      <c r="B119" s="416" t="s">
        <v>2527</v>
      </c>
      <c r="C119" s="400"/>
      <c r="D119" s="406" t="s">
        <v>217</v>
      </c>
      <c r="E119" s="407">
        <v>0.15</v>
      </c>
      <c r="F119" s="407" t="s">
        <v>2</v>
      </c>
      <c r="G119" s="408"/>
      <c r="H119" s="407">
        <f t="shared" ref="H119:H124" si="6">+E119*G119</f>
        <v>0</v>
      </c>
      <c r="I119" s="409"/>
      <c r="J119" s="406"/>
      <c r="K119" s="264"/>
    </row>
    <row r="120" spans="1:11" x14ac:dyDescent="0.25">
      <c r="A120" s="400" t="s">
        <v>298</v>
      </c>
      <c r="B120" s="416"/>
      <c r="C120" s="400"/>
      <c r="D120" s="406" t="s">
        <v>2141</v>
      </c>
      <c r="E120" s="407">
        <v>0.15</v>
      </c>
      <c r="F120" s="407" t="s">
        <v>2</v>
      </c>
      <c r="G120" s="408"/>
      <c r="H120" s="407">
        <f t="shared" si="6"/>
        <v>0</v>
      </c>
      <c r="I120" s="409"/>
      <c r="J120" s="406"/>
      <c r="K120" s="264"/>
    </row>
    <row r="121" spans="1:11" ht="26.4" x14ac:dyDescent="0.25">
      <c r="A121" s="400" t="s">
        <v>392</v>
      </c>
      <c r="B121" s="416" t="s">
        <v>2528</v>
      </c>
      <c r="C121" s="400"/>
      <c r="D121" s="406" t="s">
        <v>218</v>
      </c>
      <c r="E121" s="407">
        <v>1</v>
      </c>
      <c r="F121" s="407" t="s">
        <v>15</v>
      </c>
      <c r="G121" s="408"/>
      <c r="H121" s="407">
        <f t="shared" si="6"/>
        <v>0</v>
      </c>
      <c r="I121" s="409"/>
      <c r="J121" s="406"/>
      <c r="K121" s="264"/>
    </row>
    <row r="122" spans="1:11" ht="26.4" x14ac:dyDescent="0.25">
      <c r="A122" s="400" t="s">
        <v>392</v>
      </c>
      <c r="B122" s="416" t="s">
        <v>2534</v>
      </c>
      <c r="C122" s="400"/>
      <c r="D122" s="406" t="s">
        <v>219</v>
      </c>
      <c r="E122" s="407">
        <v>1</v>
      </c>
      <c r="F122" s="407" t="s">
        <v>15</v>
      </c>
      <c r="G122" s="408"/>
      <c r="H122" s="407">
        <f t="shared" si="6"/>
        <v>0</v>
      </c>
      <c r="I122" s="409"/>
      <c r="J122" s="406" t="s">
        <v>2166</v>
      </c>
      <c r="K122" s="264"/>
    </row>
    <row r="123" spans="1:11" ht="26.4" x14ac:dyDescent="0.25">
      <c r="A123" s="400" t="s">
        <v>392</v>
      </c>
      <c r="B123" s="416" t="s">
        <v>2510</v>
      </c>
      <c r="C123" s="400"/>
      <c r="D123" s="406" t="s">
        <v>220</v>
      </c>
      <c r="E123" s="407">
        <v>0.02</v>
      </c>
      <c r="F123" s="407" t="s">
        <v>51</v>
      </c>
      <c r="G123" s="408"/>
      <c r="H123" s="407">
        <f t="shared" si="6"/>
        <v>0</v>
      </c>
      <c r="I123" s="409"/>
      <c r="J123" s="406" t="s">
        <v>2167</v>
      </c>
      <c r="K123" s="264"/>
    </row>
    <row r="124" spans="1:11" ht="16.2" customHeight="1" x14ac:dyDescent="0.25">
      <c r="A124" s="400" t="s">
        <v>392</v>
      </c>
      <c r="B124" s="416" t="s">
        <v>2532</v>
      </c>
      <c r="C124" s="400"/>
      <c r="D124" s="406" t="s">
        <v>221</v>
      </c>
      <c r="E124" s="407">
        <v>0.02</v>
      </c>
      <c r="F124" s="407" t="s">
        <v>2</v>
      </c>
      <c r="G124" s="408"/>
      <c r="H124" s="407">
        <f t="shared" si="6"/>
        <v>0</v>
      </c>
      <c r="I124" s="409"/>
      <c r="J124" s="406" t="s">
        <v>2168</v>
      </c>
      <c r="K124" s="264"/>
    </row>
    <row r="125" spans="1:11" x14ac:dyDescent="0.25">
      <c r="A125" s="400"/>
      <c r="B125" s="416"/>
      <c r="C125" s="403"/>
      <c r="D125" s="403"/>
      <c r="E125" s="400"/>
      <c r="F125" s="400"/>
      <c r="G125" s="405"/>
      <c r="H125" s="400"/>
      <c r="I125" s="401"/>
      <c r="J125" s="404"/>
      <c r="K125" s="264"/>
    </row>
    <row r="126" spans="1:11" ht="43.2" customHeight="1" x14ac:dyDescent="0.25">
      <c r="A126" s="400"/>
      <c r="B126" s="416"/>
      <c r="C126" s="1025" t="s">
        <v>2169</v>
      </c>
      <c r="D126" s="1025"/>
      <c r="E126" s="400">
        <v>310</v>
      </c>
      <c r="F126" s="400" t="s">
        <v>15</v>
      </c>
      <c r="G126" s="411"/>
      <c r="H126" s="411"/>
      <c r="I126" s="401">
        <f>+E126*G126</f>
        <v>0</v>
      </c>
      <c r="J126" s="404" t="s">
        <v>2170</v>
      </c>
      <c r="K126" s="264"/>
    </row>
    <row r="127" spans="1:11" x14ac:dyDescent="0.25">
      <c r="A127" s="400" t="s">
        <v>2111</v>
      </c>
      <c r="B127" s="416"/>
      <c r="C127" s="400"/>
      <c r="D127" s="406" t="s">
        <v>2171</v>
      </c>
      <c r="E127" s="407">
        <v>1</v>
      </c>
      <c r="F127" s="407" t="s">
        <v>15</v>
      </c>
      <c r="G127" s="412"/>
      <c r="H127" s="413">
        <f>+E127*G127</f>
        <v>0</v>
      </c>
      <c r="I127" s="409"/>
      <c r="J127" s="406"/>
      <c r="K127" s="264"/>
    </row>
    <row r="128" spans="1:11" x14ac:dyDescent="0.25">
      <c r="A128" s="400"/>
      <c r="B128" s="416"/>
      <c r="C128" s="400"/>
      <c r="D128" s="404"/>
      <c r="E128" s="400"/>
      <c r="F128" s="400"/>
      <c r="G128" s="411"/>
      <c r="H128" s="411"/>
      <c r="I128" s="401"/>
      <c r="J128" s="404"/>
      <c r="K128" s="264"/>
    </row>
    <row r="129" spans="1:11" ht="82.2" customHeight="1" x14ac:dyDescent="0.25">
      <c r="A129" s="400"/>
      <c r="B129" s="416"/>
      <c r="C129" s="1025" t="s">
        <v>2172</v>
      </c>
      <c r="D129" s="1025"/>
      <c r="E129" s="400">
        <v>1</v>
      </c>
      <c r="F129" s="400" t="s">
        <v>26</v>
      </c>
      <c r="G129" s="411"/>
      <c r="H129" s="411"/>
      <c r="I129" s="401">
        <f>+E129*G129</f>
        <v>0</v>
      </c>
      <c r="J129" s="404" t="s">
        <v>2173</v>
      </c>
      <c r="K129" s="264"/>
    </row>
    <row r="130" spans="1:11" ht="39.6" x14ac:dyDescent="0.25">
      <c r="A130" s="400" t="s">
        <v>2111</v>
      </c>
      <c r="B130" s="416"/>
      <c r="C130" s="400"/>
      <c r="D130" s="406" t="s">
        <v>2174</v>
      </c>
      <c r="E130" s="407">
        <v>1</v>
      </c>
      <c r="F130" s="407" t="s">
        <v>26</v>
      </c>
      <c r="G130" s="412"/>
      <c r="H130" s="413">
        <f>+E130*G130</f>
        <v>0</v>
      </c>
      <c r="I130" s="409"/>
      <c r="J130" s="406"/>
      <c r="K130" s="264"/>
    </row>
    <row r="131" spans="1:11" x14ac:dyDescent="0.25">
      <c r="A131" s="400"/>
      <c r="B131" s="416"/>
      <c r="C131" s="400"/>
      <c r="D131" s="404"/>
      <c r="E131" s="400"/>
      <c r="F131" s="400"/>
      <c r="G131" s="411"/>
      <c r="H131" s="411"/>
      <c r="I131" s="401"/>
      <c r="J131" s="404"/>
      <c r="K131" s="264"/>
    </row>
    <row r="132" spans="1:11" ht="43.2" customHeight="1" x14ac:dyDescent="0.25">
      <c r="A132" s="400"/>
      <c r="B132" s="416"/>
      <c r="C132" s="1025" t="s">
        <v>2175</v>
      </c>
      <c r="D132" s="1025"/>
      <c r="E132" s="400">
        <v>306</v>
      </c>
      <c r="F132" s="400" t="s">
        <v>140</v>
      </c>
      <c r="G132" s="411"/>
      <c r="H132" s="411"/>
      <c r="I132" s="401">
        <f>+E132*G132</f>
        <v>0</v>
      </c>
      <c r="J132" s="404" t="s">
        <v>2176</v>
      </c>
      <c r="K132" s="264"/>
    </row>
    <row r="133" spans="1:11" ht="26.4" x14ac:dyDescent="0.25">
      <c r="A133" s="400" t="s">
        <v>2111</v>
      </c>
      <c r="B133" s="416"/>
      <c r="C133" s="400"/>
      <c r="D133" s="406" t="s">
        <v>2177</v>
      </c>
      <c r="E133" s="407">
        <v>1</v>
      </c>
      <c r="F133" s="407" t="s">
        <v>140</v>
      </c>
      <c r="G133" s="412"/>
      <c r="H133" s="413">
        <f>+E133*G133</f>
        <v>0</v>
      </c>
      <c r="I133" s="409"/>
      <c r="J133" s="406"/>
      <c r="K133" s="264"/>
    </row>
    <row r="134" spans="1:11" x14ac:dyDescent="0.25">
      <c r="A134" s="400"/>
      <c r="B134" s="416"/>
      <c r="C134" s="403"/>
      <c r="D134" s="400"/>
      <c r="E134" s="400"/>
      <c r="F134" s="400"/>
      <c r="G134" s="405"/>
      <c r="H134" s="400"/>
      <c r="I134" s="401"/>
      <c r="J134" s="404"/>
    </row>
    <row r="135" spans="1:11" ht="18" customHeight="1" x14ac:dyDescent="0.25">
      <c r="A135" s="1028" t="s">
        <v>2065</v>
      </c>
      <c r="B135" s="1028"/>
      <c r="C135" s="1028"/>
      <c r="D135" s="1028"/>
      <c r="E135" s="1028"/>
      <c r="F135" s="1028"/>
      <c r="G135" s="1028"/>
      <c r="H135" s="1028"/>
      <c r="I135" s="1028"/>
      <c r="J135" s="1028"/>
    </row>
    <row r="136" spans="1:11" ht="18" customHeight="1" x14ac:dyDescent="0.25">
      <c r="A136" s="610" t="s">
        <v>2178</v>
      </c>
      <c r="B136" s="610"/>
      <c r="C136" s="610"/>
      <c r="D136" s="610"/>
      <c r="E136" s="610"/>
      <c r="F136" s="610"/>
      <c r="G136" s="610"/>
      <c r="H136" s="610"/>
      <c r="I136" s="610"/>
      <c r="J136" s="610"/>
    </row>
    <row r="137" spans="1:11" ht="18" customHeight="1" x14ac:dyDescent="0.25">
      <c r="A137" s="610" t="s">
        <v>2507</v>
      </c>
      <c r="B137" s="610"/>
      <c r="C137" s="610"/>
      <c r="D137" s="610"/>
      <c r="E137" s="610"/>
      <c r="F137" s="610"/>
      <c r="G137" s="610"/>
      <c r="H137" s="610"/>
      <c r="I137" s="610"/>
      <c r="J137" s="610"/>
    </row>
    <row r="138" spans="1:11" ht="18" customHeight="1" x14ac:dyDescent="0.25">
      <c r="A138" s="1028" t="s">
        <v>2066</v>
      </c>
      <c r="B138" s="1028"/>
      <c r="C138" s="1028"/>
      <c r="D138" s="1028"/>
      <c r="E138" s="1028"/>
      <c r="F138" s="1028"/>
      <c r="G138" s="1028"/>
      <c r="H138" s="1028"/>
      <c r="I138" s="1028"/>
      <c r="J138" s="1028"/>
    </row>
    <row r="139" spans="1:11" ht="18" customHeight="1" x14ac:dyDescent="0.25">
      <c r="A139" s="1028" t="s">
        <v>2067</v>
      </c>
      <c r="B139" s="1028"/>
      <c r="C139" s="1028"/>
      <c r="D139" s="1028"/>
      <c r="E139" s="1028"/>
      <c r="F139" s="1028"/>
      <c r="G139" s="1028"/>
      <c r="H139" s="1028"/>
      <c r="I139" s="1028"/>
      <c r="J139" s="1028"/>
    </row>
    <row r="140" spans="1:11" ht="18" customHeight="1" x14ac:dyDescent="0.25">
      <c r="A140" s="1028" t="s">
        <v>2068</v>
      </c>
      <c r="B140" s="1028"/>
      <c r="C140" s="1028"/>
      <c r="D140" s="1028"/>
      <c r="E140" s="1028"/>
      <c r="F140" s="1028"/>
      <c r="G140" s="1028"/>
      <c r="H140" s="1028"/>
      <c r="I140" s="1028"/>
      <c r="J140" s="1028"/>
    </row>
    <row r="141" spans="1:11" ht="15.6" customHeight="1" x14ac:dyDescent="0.25">
      <c r="A141" s="1028" t="s">
        <v>2069</v>
      </c>
      <c r="B141" s="1028"/>
      <c r="C141" s="1028"/>
      <c r="D141" s="1028"/>
      <c r="E141" s="1028"/>
      <c r="F141" s="1028"/>
      <c r="G141" s="1028"/>
      <c r="H141" s="1028"/>
      <c r="I141" s="1028"/>
      <c r="J141" s="1028"/>
    </row>
    <row r="142" spans="1:11" ht="14.4" customHeight="1" x14ac:dyDescent="0.25">
      <c r="A142" s="1028" t="s">
        <v>2070</v>
      </c>
      <c r="B142" s="1028"/>
      <c r="C142" s="1028"/>
      <c r="D142" s="1028"/>
      <c r="E142" s="1028"/>
      <c r="F142" s="1028"/>
      <c r="G142" s="1028"/>
      <c r="H142" s="1028"/>
      <c r="I142" s="1028"/>
      <c r="J142" s="1028"/>
    </row>
    <row r="143" spans="1:11" ht="14.7" customHeight="1" x14ac:dyDescent="0.25">
      <c r="A143" s="1026" t="s">
        <v>2071</v>
      </c>
      <c r="B143" s="1026"/>
      <c r="C143" s="1026"/>
      <c r="D143" s="1026"/>
      <c r="E143" s="1026"/>
      <c r="F143" s="1026"/>
      <c r="G143" s="1026"/>
      <c r="H143" s="1026"/>
      <c r="I143" s="1026"/>
      <c r="J143" s="1026"/>
    </row>
    <row r="144" spans="1:11" ht="14.7" customHeight="1" x14ac:dyDescent="0.25">
      <c r="A144" s="1027" t="s">
        <v>2072</v>
      </c>
      <c r="B144" s="1027"/>
      <c r="C144" s="1027"/>
      <c r="D144" s="1027"/>
      <c r="E144" s="1027"/>
      <c r="F144" s="1027"/>
      <c r="G144" s="1027"/>
      <c r="H144" s="1027"/>
      <c r="I144" s="1027"/>
      <c r="J144" s="1027"/>
    </row>
  </sheetData>
  <mergeCells count="24">
    <mergeCell ref="C118:D118"/>
    <mergeCell ref="C126:D126"/>
    <mergeCell ref="C9:D9"/>
    <mergeCell ref="C25:D25"/>
    <mergeCell ref="C32:D32"/>
    <mergeCell ref="C46:D46"/>
    <mergeCell ref="C50:D50"/>
    <mergeCell ref="C66:D66"/>
    <mergeCell ref="C70:D70"/>
    <mergeCell ref="C82:D82"/>
    <mergeCell ref="C86:D86"/>
    <mergeCell ref="C98:D98"/>
    <mergeCell ref="C102:D102"/>
    <mergeCell ref="C114:D114"/>
    <mergeCell ref="C129:D129"/>
    <mergeCell ref="C132:D132"/>
    <mergeCell ref="A143:J143"/>
    <mergeCell ref="A144:J144"/>
    <mergeCell ref="A135:J135"/>
    <mergeCell ref="A138:J138"/>
    <mergeCell ref="A139:J139"/>
    <mergeCell ref="A140:J140"/>
    <mergeCell ref="A141:J141"/>
    <mergeCell ref="A142:J142"/>
  </mergeCells>
  <phoneticPr fontId="12" type="noConversion"/>
  <printOptions gridLines="1"/>
  <pageMargins left="0.31496062992125984" right="0.31496062992125984" top="0.59055118110236227" bottom="0.59055118110236227" header="0.31496062992125984" footer="0.31496062992125984"/>
  <pageSetup paperSize="9" scale="69" fitToHeight="100" orientation="portrait" r:id="rId1"/>
  <headerFooter>
    <oddFooter>Stránka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218"/>
  <sheetViews>
    <sheetView topLeftCell="A184" workbookViewId="0">
      <selection activeCell="M200" sqref="M200"/>
    </sheetView>
  </sheetViews>
  <sheetFormatPr defaultRowHeight="13.2" x14ac:dyDescent="0.25"/>
  <cols>
    <col min="1" max="1" width="6.44140625" style="264" customWidth="1"/>
    <col min="2" max="2" width="1.33203125" style="264" customWidth="1"/>
    <col min="3" max="4" width="3.88671875" style="264" customWidth="1"/>
    <col min="5" max="5" width="9.109375" style="264" customWidth="1"/>
    <col min="6" max="6" width="7.109375" style="264" customWidth="1"/>
    <col min="7" max="7" width="3.88671875" style="264" customWidth="1"/>
    <col min="8" max="8" width="60.5546875" style="264" customWidth="1"/>
    <col min="9" max="10" width="15.5546875" style="264" customWidth="1"/>
    <col min="11" max="11" width="1.33203125" style="264" customWidth="1"/>
  </cols>
  <sheetData>
    <row r="1" spans="1:11" ht="37.5" customHeight="1" x14ac:dyDescent="0.25">
      <c r="A1"/>
      <c r="B1"/>
      <c r="C1"/>
      <c r="D1"/>
      <c r="E1"/>
      <c r="F1"/>
      <c r="G1"/>
      <c r="H1"/>
      <c r="I1"/>
      <c r="J1"/>
      <c r="K1"/>
    </row>
    <row r="2" spans="1:11" ht="7.5" customHeight="1" x14ac:dyDescent="0.25">
      <c r="A2"/>
      <c r="B2" s="191"/>
      <c r="C2" s="192"/>
      <c r="D2" s="192"/>
      <c r="E2" s="192"/>
      <c r="F2" s="192"/>
      <c r="G2" s="192"/>
      <c r="H2" s="192"/>
      <c r="I2" s="192"/>
      <c r="J2" s="192"/>
      <c r="K2" s="193"/>
    </row>
    <row r="3" spans="1:11" s="5" customFormat="1" ht="45" customHeight="1" x14ac:dyDescent="0.25">
      <c r="B3" s="194"/>
      <c r="C3" s="1031" t="s">
        <v>1686</v>
      </c>
      <c r="D3" s="1031"/>
      <c r="E3" s="1031"/>
      <c r="F3" s="1031"/>
      <c r="G3" s="1031"/>
      <c r="H3" s="1031"/>
      <c r="I3" s="1031"/>
      <c r="J3" s="1031"/>
      <c r="K3" s="195"/>
    </row>
    <row r="4" spans="1:11" ht="25.5" customHeight="1" x14ac:dyDescent="0.3">
      <c r="A4"/>
      <c r="B4" s="196"/>
      <c r="C4" s="1037" t="s">
        <v>1687</v>
      </c>
      <c r="D4" s="1037"/>
      <c r="E4" s="1037"/>
      <c r="F4" s="1037"/>
      <c r="G4" s="1037"/>
      <c r="H4" s="1037"/>
      <c r="I4" s="1037"/>
      <c r="J4" s="1037"/>
      <c r="K4" s="197"/>
    </row>
    <row r="5" spans="1:11" ht="5.25" customHeight="1" x14ac:dyDescent="0.25">
      <c r="A5"/>
      <c r="B5" s="196"/>
      <c r="C5" s="198"/>
      <c r="D5" s="198"/>
      <c r="E5" s="198"/>
      <c r="F5" s="198"/>
      <c r="G5" s="198"/>
      <c r="H5" s="198"/>
      <c r="I5" s="198"/>
      <c r="J5" s="198"/>
      <c r="K5" s="197"/>
    </row>
    <row r="6" spans="1:11" ht="15" customHeight="1" x14ac:dyDescent="0.25">
      <c r="A6"/>
      <c r="B6" s="196"/>
      <c r="C6" s="1034" t="s">
        <v>1688</v>
      </c>
      <c r="D6" s="1034"/>
      <c r="E6" s="1034"/>
      <c r="F6" s="1034"/>
      <c r="G6" s="1034"/>
      <c r="H6" s="1034"/>
      <c r="I6" s="1034"/>
      <c r="J6" s="1034"/>
      <c r="K6" s="197"/>
    </row>
    <row r="7" spans="1:11" ht="15" customHeight="1" x14ac:dyDescent="0.25">
      <c r="A7"/>
      <c r="B7" s="200"/>
      <c r="C7" s="1034" t="s">
        <v>1689</v>
      </c>
      <c r="D7" s="1034"/>
      <c r="E7" s="1034"/>
      <c r="F7" s="1034"/>
      <c r="G7" s="1034"/>
      <c r="H7" s="1034"/>
      <c r="I7" s="1034"/>
      <c r="J7" s="1034"/>
      <c r="K7" s="197"/>
    </row>
    <row r="8" spans="1:11" ht="12.75" customHeight="1" x14ac:dyDescent="0.25">
      <c r="A8"/>
      <c r="B8" s="200"/>
      <c r="C8" s="199"/>
      <c r="D8" s="199"/>
      <c r="E8" s="199"/>
      <c r="F8" s="199"/>
      <c r="G8" s="199"/>
      <c r="H8" s="199"/>
      <c r="I8" s="199"/>
      <c r="J8" s="199"/>
      <c r="K8" s="197"/>
    </row>
    <row r="9" spans="1:11" ht="15" customHeight="1" x14ac:dyDescent="0.25">
      <c r="A9"/>
      <c r="B9" s="200"/>
      <c r="C9" s="1034" t="s">
        <v>1690</v>
      </c>
      <c r="D9" s="1034"/>
      <c r="E9" s="1034"/>
      <c r="F9" s="1034"/>
      <c r="G9" s="1034"/>
      <c r="H9" s="1034"/>
      <c r="I9" s="1034"/>
      <c r="J9" s="1034"/>
      <c r="K9" s="197"/>
    </row>
    <row r="10" spans="1:11" ht="15" customHeight="1" x14ac:dyDescent="0.25">
      <c r="A10"/>
      <c r="B10" s="200"/>
      <c r="C10" s="199"/>
      <c r="D10" s="1034" t="s">
        <v>1691</v>
      </c>
      <c r="E10" s="1034"/>
      <c r="F10" s="1034"/>
      <c r="G10" s="1034"/>
      <c r="H10" s="1034"/>
      <c r="I10" s="1034"/>
      <c r="J10" s="1034"/>
      <c r="K10" s="197"/>
    </row>
    <row r="11" spans="1:11" ht="15" customHeight="1" x14ac:dyDescent="0.25">
      <c r="A11"/>
      <c r="B11" s="200"/>
      <c r="C11" s="201"/>
      <c r="D11" s="1034" t="s">
        <v>1692</v>
      </c>
      <c r="E11" s="1034"/>
      <c r="F11" s="1034"/>
      <c r="G11" s="1034"/>
      <c r="H11" s="1034"/>
      <c r="I11" s="1034"/>
      <c r="J11" s="1034"/>
      <c r="K11" s="197"/>
    </row>
    <row r="12" spans="1:11" ht="15" customHeight="1" x14ac:dyDescent="0.25">
      <c r="A12"/>
      <c r="B12" s="200"/>
      <c r="C12" s="201"/>
      <c r="D12" s="199"/>
      <c r="E12" s="199"/>
      <c r="F12" s="199"/>
      <c r="G12" s="199"/>
      <c r="H12" s="199"/>
      <c r="I12" s="199"/>
      <c r="J12" s="199"/>
      <c r="K12" s="197"/>
    </row>
    <row r="13" spans="1:11" ht="15" customHeight="1" x14ac:dyDescent="0.25">
      <c r="A13"/>
      <c r="B13" s="200"/>
      <c r="C13" s="201"/>
      <c r="D13" s="202" t="s">
        <v>1693</v>
      </c>
      <c r="E13" s="199"/>
      <c r="F13" s="199"/>
      <c r="G13" s="199"/>
      <c r="H13" s="199"/>
      <c r="I13" s="199"/>
      <c r="J13" s="199"/>
      <c r="K13" s="197"/>
    </row>
    <row r="14" spans="1:11" ht="12.75" customHeight="1" x14ac:dyDescent="0.25">
      <c r="A14"/>
      <c r="B14" s="200"/>
      <c r="C14" s="201"/>
      <c r="D14" s="201"/>
      <c r="E14" s="201"/>
      <c r="F14" s="201"/>
      <c r="G14" s="201"/>
      <c r="H14" s="201"/>
      <c r="I14" s="201"/>
      <c r="J14" s="201"/>
      <c r="K14" s="197"/>
    </row>
    <row r="15" spans="1:11" ht="15" customHeight="1" x14ac:dyDescent="0.25">
      <c r="A15"/>
      <c r="B15" s="200"/>
      <c r="C15" s="201"/>
      <c r="D15" s="1034" t="s">
        <v>1694</v>
      </c>
      <c r="E15" s="1034"/>
      <c r="F15" s="1034"/>
      <c r="G15" s="1034"/>
      <c r="H15" s="1034"/>
      <c r="I15" s="1034"/>
      <c r="J15" s="1034"/>
      <c r="K15" s="197"/>
    </row>
    <row r="16" spans="1:11" ht="15" customHeight="1" x14ac:dyDescent="0.25">
      <c r="A16"/>
      <c r="B16" s="200"/>
      <c r="C16" s="201"/>
      <c r="D16" s="1034" t="s">
        <v>1695</v>
      </c>
      <c r="E16" s="1034"/>
      <c r="F16" s="1034"/>
      <c r="G16" s="1034"/>
      <c r="H16" s="1034"/>
      <c r="I16" s="1034"/>
      <c r="J16" s="1034"/>
      <c r="K16" s="197"/>
    </row>
    <row r="17" spans="1:11" ht="15" customHeight="1" x14ac:dyDescent="0.25">
      <c r="A17"/>
      <c r="B17" s="200"/>
      <c r="C17" s="201"/>
      <c r="D17" s="1034" t="s">
        <v>1696</v>
      </c>
      <c r="E17" s="1034"/>
      <c r="F17" s="1034"/>
      <c r="G17" s="1034"/>
      <c r="H17" s="1034"/>
      <c r="I17" s="1034"/>
      <c r="J17" s="1034"/>
      <c r="K17" s="197"/>
    </row>
    <row r="18" spans="1:11" ht="15" customHeight="1" x14ac:dyDescent="0.25">
      <c r="A18"/>
      <c r="B18" s="200"/>
      <c r="C18" s="201"/>
      <c r="D18" s="201"/>
      <c r="E18" s="203" t="s">
        <v>1697</v>
      </c>
      <c r="F18" s="1034" t="s">
        <v>1698</v>
      </c>
      <c r="G18" s="1034"/>
      <c r="H18" s="1034"/>
      <c r="I18" s="1034"/>
      <c r="J18" s="1034"/>
      <c r="K18" s="197"/>
    </row>
    <row r="19" spans="1:11" ht="15" customHeight="1" x14ac:dyDescent="0.25">
      <c r="A19"/>
      <c r="B19" s="200"/>
      <c r="C19" s="201"/>
      <c r="D19" s="201"/>
      <c r="E19" s="203" t="s">
        <v>1699</v>
      </c>
      <c r="F19" s="1034" t="s">
        <v>1700</v>
      </c>
      <c r="G19" s="1034"/>
      <c r="H19" s="1034"/>
      <c r="I19" s="1034"/>
      <c r="J19" s="1034"/>
      <c r="K19" s="197"/>
    </row>
    <row r="20" spans="1:11" ht="15" customHeight="1" x14ac:dyDescent="0.25">
      <c r="A20"/>
      <c r="B20" s="200"/>
      <c r="C20" s="201"/>
      <c r="D20" s="201"/>
      <c r="E20" s="203" t="s">
        <v>1701</v>
      </c>
      <c r="F20" s="1034" t="s">
        <v>1702</v>
      </c>
      <c r="G20" s="1034"/>
      <c r="H20" s="1034"/>
      <c r="I20" s="1034"/>
      <c r="J20" s="1034"/>
      <c r="K20" s="197"/>
    </row>
    <row r="21" spans="1:11" ht="15" customHeight="1" x14ac:dyDescent="0.25">
      <c r="A21"/>
      <c r="B21" s="200"/>
      <c r="C21" s="201"/>
      <c r="D21" s="201"/>
      <c r="E21" s="203" t="s">
        <v>1703</v>
      </c>
      <c r="F21" s="1034" t="s">
        <v>1704</v>
      </c>
      <c r="G21" s="1034"/>
      <c r="H21" s="1034"/>
      <c r="I21" s="1034"/>
      <c r="J21" s="1034"/>
      <c r="K21" s="197"/>
    </row>
    <row r="22" spans="1:11" ht="15" customHeight="1" x14ac:dyDescent="0.25">
      <c r="A22"/>
      <c r="B22" s="200"/>
      <c r="C22" s="201"/>
      <c r="D22" s="201"/>
      <c r="E22" s="203" t="s">
        <v>1705</v>
      </c>
      <c r="F22" s="1034" t="s">
        <v>1706</v>
      </c>
      <c r="G22" s="1034"/>
      <c r="H22" s="1034"/>
      <c r="I22" s="1034"/>
      <c r="J22" s="1034"/>
      <c r="K22" s="197"/>
    </row>
    <row r="23" spans="1:11" ht="15" customHeight="1" x14ac:dyDescent="0.25">
      <c r="A23"/>
      <c r="B23" s="200"/>
      <c r="C23" s="201"/>
      <c r="D23" s="201"/>
      <c r="E23" s="203" t="s">
        <v>1707</v>
      </c>
      <c r="F23" s="1034" t="s">
        <v>1708</v>
      </c>
      <c r="G23" s="1034"/>
      <c r="H23" s="1034"/>
      <c r="I23" s="1034"/>
      <c r="J23" s="1034"/>
      <c r="K23" s="197"/>
    </row>
    <row r="24" spans="1:11" ht="12.75" customHeight="1" x14ac:dyDescent="0.25">
      <c r="A24"/>
      <c r="B24" s="200"/>
      <c r="C24" s="201"/>
      <c r="D24" s="201"/>
      <c r="E24" s="201"/>
      <c r="F24" s="201"/>
      <c r="G24" s="201"/>
      <c r="H24" s="201"/>
      <c r="I24" s="201"/>
      <c r="J24" s="201"/>
      <c r="K24" s="197"/>
    </row>
    <row r="25" spans="1:11" ht="15" customHeight="1" x14ac:dyDescent="0.25">
      <c r="A25"/>
      <c r="B25" s="200"/>
      <c r="C25" s="1034" t="s">
        <v>1709</v>
      </c>
      <c r="D25" s="1034"/>
      <c r="E25" s="1034"/>
      <c r="F25" s="1034"/>
      <c r="G25" s="1034"/>
      <c r="H25" s="1034"/>
      <c r="I25" s="1034"/>
      <c r="J25" s="1034"/>
      <c r="K25" s="197"/>
    </row>
    <row r="26" spans="1:11" ht="15" customHeight="1" x14ac:dyDescent="0.25">
      <c r="A26"/>
      <c r="B26" s="200"/>
      <c r="C26" s="1034" t="s">
        <v>1710</v>
      </c>
      <c r="D26" s="1034"/>
      <c r="E26" s="1034"/>
      <c r="F26" s="1034"/>
      <c r="G26" s="1034"/>
      <c r="H26" s="1034"/>
      <c r="I26" s="1034"/>
      <c r="J26" s="1034"/>
      <c r="K26" s="197"/>
    </row>
    <row r="27" spans="1:11" ht="15" customHeight="1" x14ac:dyDescent="0.25">
      <c r="A27"/>
      <c r="B27" s="200"/>
      <c r="C27" s="199"/>
      <c r="D27" s="1034" t="s">
        <v>1711</v>
      </c>
      <c r="E27" s="1034"/>
      <c r="F27" s="1034"/>
      <c r="G27" s="1034"/>
      <c r="H27" s="1034"/>
      <c r="I27" s="1034"/>
      <c r="J27" s="1034"/>
      <c r="K27" s="197"/>
    </row>
    <row r="28" spans="1:11" ht="15" customHeight="1" x14ac:dyDescent="0.25">
      <c r="A28"/>
      <c r="B28" s="200"/>
      <c r="C28" s="201"/>
      <c r="D28" s="1034" t="s">
        <v>1712</v>
      </c>
      <c r="E28" s="1034"/>
      <c r="F28" s="1034"/>
      <c r="G28" s="1034"/>
      <c r="H28" s="1034"/>
      <c r="I28" s="1034"/>
      <c r="J28" s="1034"/>
      <c r="K28" s="197"/>
    </row>
    <row r="29" spans="1:11" ht="12.75" customHeight="1" x14ac:dyDescent="0.25">
      <c r="A29"/>
      <c r="B29" s="200"/>
      <c r="C29" s="201"/>
      <c r="D29" s="201"/>
      <c r="E29" s="201"/>
      <c r="F29" s="201"/>
      <c r="G29" s="201"/>
      <c r="H29" s="201"/>
      <c r="I29" s="201"/>
      <c r="J29" s="201"/>
      <c r="K29" s="197"/>
    </row>
    <row r="30" spans="1:11" ht="15" customHeight="1" x14ac:dyDescent="0.25">
      <c r="A30"/>
      <c r="B30" s="200"/>
      <c r="C30" s="201"/>
      <c r="D30" s="1034" t="s">
        <v>1713</v>
      </c>
      <c r="E30" s="1034"/>
      <c r="F30" s="1034"/>
      <c r="G30" s="1034"/>
      <c r="H30" s="1034"/>
      <c r="I30" s="1034"/>
      <c r="J30" s="1034"/>
      <c r="K30" s="197"/>
    </row>
    <row r="31" spans="1:11" ht="15" customHeight="1" x14ac:dyDescent="0.25">
      <c r="A31"/>
      <c r="B31" s="200"/>
      <c r="C31" s="201"/>
      <c r="D31" s="1034" t="s">
        <v>1714</v>
      </c>
      <c r="E31" s="1034"/>
      <c r="F31" s="1034"/>
      <c r="G31" s="1034"/>
      <c r="H31" s="1034"/>
      <c r="I31" s="1034"/>
      <c r="J31" s="1034"/>
      <c r="K31" s="197"/>
    </row>
    <row r="32" spans="1:11" ht="12.75" customHeight="1" x14ac:dyDescent="0.25">
      <c r="A32"/>
      <c r="B32" s="200"/>
      <c r="C32" s="201"/>
      <c r="D32" s="201"/>
      <c r="E32" s="201"/>
      <c r="F32" s="201"/>
      <c r="G32" s="201"/>
      <c r="H32" s="201"/>
      <c r="I32" s="201"/>
      <c r="J32" s="201"/>
      <c r="K32" s="197"/>
    </row>
    <row r="33" spans="1:11" ht="15" customHeight="1" x14ac:dyDescent="0.25">
      <c r="A33"/>
      <c r="B33" s="200"/>
      <c r="C33" s="201"/>
      <c r="D33" s="1034" t="s">
        <v>1715</v>
      </c>
      <c r="E33" s="1034"/>
      <c r="F33" s="1034"/>
      <c r="G33" s="1034"/>
      <c r="H33" s="1034"/>
      <c r="I33" s="1034"/>
      <c r="J33" s="1034"/>
      <c r="K33" s="197"/>
    </row>
    <row r="34" spans="1:11" ht="15" customHeight="1" x14ac:dyDescent="0.25">
      <c r="A34"/>
      <c r="B34" s="200"/>
      <c r="C34" s="201"/>
      <c r="D34" s="1034" t="s">
        <v>1716</v>
      </c>
      <c r="E34" s="1034"/>
      <c r="F34" s="1034"/>
      <c r="G34" s="1034"/>
      <c r="H34" s="1034"/>
      <c r="I34" s="1034"/>
      <c r="J34" s="1034"/>
      <c r="K34" s="197"/>
    </row>
    <row r="35" spans="1:11" ht="15" customHeight="1" x14ac:dyDescent="0.25">
      <c r="A35"/>
      <c r="B35" s="200"/>
      <c r="C35" s="201"/>
      <c r="D35" s="1034" t="s">
        <v>1717</v>
      </c>
      <c r="E35" s="1034"/>
      <c r="F35" s="1034"/>
      <c r="G35" s="1034"/>
      <c r="H35" s="1034"/>
      <c r="I35" s="1034"/>
      <c r="J35" s="1034"/>
      <c r="K35" s="197"/>
    </row>
    <row r="36" spans="1:11" ht="15" customHeight="1" x14ac:dyDescent="0.25">
      <c r="A36"/>
      <c r="B36" s="200"/>
      <c r="C36" s="201"/>
      <c r="D36" s="199"/>
      <c r="E36" s="202" t="s">
        <v>846</v>
      </c>
      <c r="F36" s="199"/>
      <c r="G36" s="1034" t="s">
        <v>1718</v>
      </c>
      <c r="H36" s="1034"/>
      <c r="I36" s="1034"/>
      <c r="J36" s="1034"/>
      <c r="K36" s="197"/>
    </row>
    <row r="37" spans="1:11" ht="30.75" customHeight="1" x14ac:dyDescent="0.25">
      <c r="A37"/>
      <c r="B37" s="200"/>
      <c r="C37" s="201"/>
      <c r="D37" s="199"/>
      <c r="E37" s="202" t="s">
        <v>1719</v>
      </c>
      <c r="F37" s="199"/>
      <c r="G37" s="1034" t="s">
        <v>1720</v>
      </c>
      <c r="H37" s="1034"/>
      <c r="I37" s="1034"/>
      <c r="J37" s="1034"/>
      <c r="K37" s="197"/>
    </row>
    <row r="38" spans="1:11" ht="15" customHeight="1" x14ac:dyDescent="0.25">
      <c r="A38"/>
      <c r="B38" s="200"/>
      <c r="C38" s="201"/>
      <c r="D38" s="199"/>
      <c r="E38" s="202" t="s">
        <v>848</v>
      </c>
      <c r="F38" s="199"/>
      <c r="G38" s="1034" t="s">
        <v>1721</v>
      </c>
      <c r="H38" s="1034"/>
      <c r="I38" s="1034"/>
      <c r="J38" s="1034"/>
      <c r="K38" s="197"/>
    </row>
    <row r="39" spans="1:11" ht="15" customHeight="1" x14ac:dyDescent="0.25">
      <c r="A39"/>
      <c r="B39" s="200"/>
      <c r="C39" s="201"/>
      <c r="D39" s="199"/>
      <c r="E39" s="202" t="s">
        <v>849</v>
      </c>
      <c r="F39" s="199"/>
      <c r="G39" s="1034" t="s">
        <v>1722</v>
      </c>
      <c r="H39" s="1034"/>
      <c r="I39" s="1034"/>
      <c r="J39" s="1034"/>
      <c r="K39" s="197"/>
    </row>
    <row r="40" spans="1:11" ht="15" customHeight="1" x14ac:dyDescent="0.25">
      <c r="A40"/>
      <c r="B40" s="200"/>
      <c r="C40" s="201"/>
      <c r="D40" s="199"/>
      <c r="E40" s="202" t="s">
        <v>850</v>
      </c>
      <c r="F40" s="199"/>
      <c r="G40" s="1034" t="s">
        <v>1723</v>
      </c>
      <c r="H40" s="1034"/>
      <c r="I40" s="1034"/>
      <c r="J40" s="1034"/>
      <c r="K40" s="197"/>
    </row>
    <row r="41" spans="1:11" ht="15" customHeight="1" x14ac:dyDescent="0.25">
      <c r="A41"/>
      <c r="B41" s="200"/>
      <c r="C41" s="201"/>
      <c r="D41" s="199"/>
      <c r="E41" s="202" t="s">
        <v>851</v>
      </c>
      <c r="F41" s="199"/>
      <c r="G41" s="1034" t="s">
        <v>1724</v>
      </c>
      <c r="H41" s="1034"/>
      <c r="I41" s="1034"/>
      <c r="J41" s="1034"/>
      <c r="K41" s="197"/>
    </row>
    <row r="42" spans="1:11" ht="15" customHeight="1" x14ac:dyDescent="0.25">
      <c r="A42"/>
      <c r="B42" s="200"/>
      <c r="C42" s="201"/>
      <c r="D42" s="199"/>
      <c r="E42" s="202" t="s">
        <v>1725</v>
      </c>
      <c r="F42" s="199"/>
      <c r="G42" s="1034" t="s">
        <v>1726</v>
      </c>
      <c r="H42" s="1034"/>
      <c r="I42" s="1034"/>
      <c r="J42" s="1034"/>
      <c r="K42" s="197"/>
    </row>
    <row r="43" spans="1:11" ht="15" customHeight="1" x14ac:dyDescent="0.25">
      <c r="A43"/>
      <c r="B43" s="200"/>
      <c r="C43" s="201"/>
      <c r="D43" s="199"/>
      <c r="E43" s="202"/>
      <c r="F43" s="199"/>
      <c r="G43" s="1034" t="s">
        <v>1727</v>
      </c>
      <c r="H43" s="1034"/>
      <c r="I43" s="1034"/>
      <c r="J43" s="1034"/>
      <c r="K43" s="197"/>
    </row>
    <row r="44" spans="1:11" ht="15" customHeight="1" x14ac:dyDescent="0.25">
      <c r="A44"/>
      <c r="B44" s="200"/>
      <c r="C44" s="201"/>
      <c r="D44" s="199"/>
      <c r="E44" s="202" t="s">
        <v>1728</v>
      </c>
      <c r="F44" s="199"/>
      <c r="G44" s="1034" t="s">
        <v>1729</v>
      </c>
      <c r="H44" s="1034"/>
      <c r="I44" s="1034"/>
      <c r="J44" s="1034"/>
      <c r="K44" s="197"/>
    </row>
    <row r="45" spans="1:11" ht="15" customHeight="1" x14ac:dyDescent="0.25">
      <c r="A45"/>
      <c r="B45" s="200"/>
      <c r="C45" s="201"/>
      <c r="D45" s="199"/>
      <c r="E45" s="202" t="s">
        <v>853</v>
      </c>
      <c r="F45" s="199"/>
      <c r="G45" s="1034" t="s">
        <v>1730</v>
      </c>
      <c r="H45" s="1034"/>
      <c r="I45" s="1034"/>
      <c r="J45" s="1034"/>
      <c r="K45" s="197"/>
    </row>
    <row r="46" spans="1:11" ht="12.75" customHeight="1" x14ac:dyDescent="0.25">
      <c r="A46"/>
      <c r="B46" s="200"/>
      <c r="C46" s="201"/>
      <c r="D46" s="199"/>
      <c r="E46" s="199"/>
      <c r="F46" s="199"/>
      <c r="G46" s="199"/>
      <c r="H46" s="199"/>
      <c r="I46" s="199"/>
      <c r="J46" s="199"/>
      <c r="K46" s="197"/>
    </row>
    <row r="47" spans="1:11" ht="15" customHeight="1" x14ac:dyDescent="0.25">
      <c r="A47"/>
      <c r="B47" s="200"/>
      <c r="C47" s="201"/>
      <c r="D47" s="1034" t="s">
        <v>1731</v>
      </c>
      <c r="E47" s="1034"/>
      <c r="F47" s="1034"/>
      <c r="G47" s="1034"/>
      <c r="H47" s="1034"/>
      <c r="I47" s="1034"/>
      <c r="J47" s="1034"/>
      <c r="K47" s="197"/>
    </row>
    <row r="48" spans="1:11" ht="15" customHeight="1" x14ac:dyDescent="0.25">
      <c r="A48"/>
      <c r="B48" s="200"/>
      <c r="C48" s="201"/>
      <c r="D48" s="201"/>
      <c r="E48" s="1034" t="s">
        <v>1732</v>
      </c>
      <c r="F48" s="1034"/>
      <c r="G48" s="1034"/>
      <c r="H48" s="1034"/>
      <c r="I48" s="1034"/>
      <c r="J48" s="1034"/>
      <c r="K48" s="197"/>
    </row>
    <row r="49" spans="1:11" ht="15" customHeight="1" x14ac:dyDescent="0.25">
      <c r="A49"/>
      <c r="B49" s="200"/>
      <c r="C49" s="201"/>
      <c r="D49" s="201"/>
      <c r="E49" s="1034" t="s">
        <v>1733</v>
      </c>
      <c r="F49" s="1034"/>
      <c r="G49" s="1034"/>
      <c r="H49" s="1034"/>
      <c r="I49" s="1034"/>
      <c r="J49" s="1034"/>
      <c r="K49" s="197"/>
    </row>
    <row r="50" spans="1:11" ht="15" customHeight="1" x14ac:dyDescent="0.25">
      <c r="A50"/>
      <c r="B50" s="200"/>
      <c r="C50" s="201"/>
      <c r="D50" s="201"/>
      <c r="E50" s="1034" t="s">
        <v>1734</v>
      </c>
      <c r="F50" s="1034"/>
      <c r="G50" s="1034"/>
      <c r="H50" s="1034"/>
      <c r="I50" s="1034"/>
      <c r="J50" s="1034"/>
      <c r="K50" s="197"/>
    </row>
    <row r="51" spans="1:11" ht="15" customHeight="1" x14ac:dyDescent="0.25">
      <c r="A51"/>
      <c r="B51" s="200"/>
      <c r="C51" s="201"/>
      <c r="D51" s="1034" t="s">
        <v>1735</v>
      </c>
      <c r="E51" s="1034"/>
      <c r="F51" s="1034"/>
      <c r="G51" s="1034"/>
      <c r="H51" s="1034"/>
      <c r="I51" s="1034"/>
      <c r="J51" s="1034"/>
      <c r="K51" s="197"/>
    </row>
    <row r="52" spans="1:11" ht="25.5" customHeight="1" x14ac:dyDescent="0.3">
      <c r="A52"/>
      <c r="B52" s="196"/>
      <c r="C52" s="1037" t="s">
        <v>1736</v>
      </c>
      <c r="D52" s="1037"/>
      <c r="E52" s="1037"/>
      <c r="F52" s="1037"/>
      <c r="G52" s="1037"/>
      <c r="H52" s="1037"/>
      <c r="I52" s="1037"/>
      <c r="J52" s="1037"/>
      <c r="K52" s="197"/>
    </row>
    <row r="53" spans="1:11" ht="5.25" customHeight="1" x14ac:dyDescent="0.25">
      <c r="A53"/>
      <c r="B53" s="196"/>
      <c r="C53" s="198"/>
      <c r="D53" s="198"/>
      <c r="E53" s="198"/>
      <c r="F53" s="198"/>
      <c r="G53" s="198"/>
      <c r="H53" s="198"/>
      <c r="I53" s="198"/>
      <c r="J53" s="198"/>
      <c r="K53" s="197"/>
    </row>
    <row r="54" spans="1:11" ht="15" customHeight="1" x14ac:dyDescent="0.25">
      <c r="A54"/>
      <c r="B54" s="196"/>
      <c r="C54" s="1034" t="s">
        <v>1737</v>
      </c>
      <c r="D54" s="1034"/>
      <c r="E54" s="1034"/>
      <c r="F54" s="1034"/>
      <c r="G54" s="1034"/>
      <c r="H54" s="1034"/>
      <c r="I54" s="1034"/>
      <c r="J54" s="1034"/>
      <c r="K54" s="197"/>
    </row>
    <row r="55" spans="1:11" ht="15" customHeight="1" x14ac:dyDescent="0.25">
      <c r="A55"/>
      <c r="B55" s="196"/>
      <c r="C55" s="1034" t="s">
        <v>1738</v>
      </c>
      <c r="D55" s="1034"/>
      <c r="E55" s="1034"/>
      <c r="F55" s="1034"/>
      <c r="G55" s="1034"/>
      <c r="H55" s="1034"/>
      <c r="I55" s="1034"/>
      <c r="J55" s="1034"/>
      <c r="K55" s="197"/>
    </row>
    <row r="56" spans="1:11" ht="12.75" customHeight="1" x14ac:dyDescent="0.25">
      <c r="A56"/>
      <c r="B56" s="196"/>
      <c r="C56" s="199"/>
      <c r="D56" s="199"/>
      <c r="E56" s="199"/>
      <c r="F56" s="199"/>
      <c r="G56" s="199"/>
      <c r="H56" s="199"/>
      <c r="I56" s="199"/>
      <c r="J56" s="199"/>
      <c r="K56" s="197"/>
    </row>
    <row r="57" spans="1:11" ht="15" customHeight="1" x14ac:dyDescent="0.25">
      <c r="A57"/>
      <c r="B57" s="196"/>
      <c r="C57" s="1034" t="s">
        <v>1739</v>
      </c>
      <c r="D57" s="1034"/>
      <c r="E57" s="1034"/>
      <c r="F57" s="1034"/>
      <c r="G57" s="1034"/>
      <c r="H57" s="1034"/>
      <c r="I57" s="1034"/>
      <c r="J57" s="1034"/>
      <c r="K57" s="197"/>
    </row>
    <row r="58" spans="1:11" ht="15" customHeight="1" x14ac:dyDescent="0.25">
      <c r="A58"/>
      <c r="B58" s="196"/>
      <c r="C58" s="201"/>
      <c r="D58" s="1034" t="s">
        <v>1740</v>
      </c>
      <c r="E58" s="1034"/>
      <c r="F58" s="1034"/>
      <c r="G58" s="1034"/>
      <c r="H58" s="1034"/>
      <c r="I58" s="1034"/>
      <c r="J58" s="1034"/>
      <c r="K58" s="197"/>
    </row>
    <row r="59" spans="1:11" ht="15" customHeight="1" x14ac:dyDescent="0.25">
      <c r="A59"/>
      <c r="B59" s="196"/>
      <c r="C59" s="201"/>
      <c r="D59" s="1034" t="s">
        <v>1741</v>
      </c>
      <c r="E59" s="1034"/>
      <c r="F59" s="1034"/>
      <c r="G59" s="1034"/>
      <c r="H59" s="1034"/>
      <c r="I59" s="1034"/>
      <c r="J59" s="1034"/>
      <c r="K59" s="197"/>
    </row>
    <row r="60" spans="1:11" ht="15" customHeight="1" x14ac:dyDescent="0.25">
      <c r="A60"/>
      <c r="B60" s="196"/>
      <c r="C60" s="201"/>
      <c r="D60" s="1034" t="s">
        <v>1742</v>
      </c>
      <c r="E60" s="1034"/>
      <c r="F60" s="1034"/>
      <c r="G60" s="1034"/>
      <c r="H60" s="1034"/>
      <c r="I60" s="1034"/>
      <c r="J60" s="1034"/>
      <c r="K60" s="197"/>
    </row>
    <row r="61" spans="1:11" ht="15" customHeight="1" x14ac:dyDescent="0.25">
      <c r="A61"/>
      <c r="B61" s="196"/>
      <c r="C61" s="201"/>
      <c r="D61" s="1034" t="s">
        <v>1743</v>
      </c>
      <c r="E61" s="1034"/>
      <c r="F61" s="1034"/>
      <c r="G61" s="1034"/>
      <c r="H61" s="1034"/>
      <c r="I61" s="1034"/>
      <c r="J61" s="1034"/>
      <c r="K61" s="197"/>
    </row>
    <row r="62" spans="1:11" ht="15" customHeight="1" x14ac:dyDescent="0.25">
      <c r="A62"/>
      <c r="B62" s="196"/>
      <c r="C62" s="201"/>
      <c r="D62" s="1036" t="s">
        <v>1744</v>
      </c>
      <c r="E62" s="1036"/>
      <c r="F62" s="1036"/>
      <c r="G62" s="1036"/>
      <c r="H62" s="1036"/>
      <c r="I62" s="1036"/>
      <c r="J62" s="1036"/>
      <c r="K62" s="197"/>
    </row>
    <row r="63" spans="1:11" ht="15" customHeight="1" x14ac:dyDescent="0.25">
      <c r="A63"/>
      <c r="B63" s="196"/>
      <c r="C63" s="201"/>
      <c r="D63" s="1034" t="s">
        <v>1745</v>
      </c>
      <c r="E63" s="1034"/>
      <c r="F63" s="1034"/>
      <c r="G63" s="1034"/>
      <c r="H63" s="1034"/>
      <c r="I63" s="1034"/>
      <c r="J63" s="1034"/>
      <c r="K63" s="197"/>
    </row>
    <row r="64" spans="1:11" ht="12.75" customHeight="1" x14ac:dyDescent="0.25">
      <c r="A64"/>
      <c r="B64" s="196"/>
      <c r="C64" s="201"/>
      <c r="D64" s="201"/>
      <c r="E64" s="204"/>
      <c r="F64" s="201"/>
      <c r="G64" s="201"/>
      <c r="H64" s="201"/>
      <c r="I64" s="201"/>
      <c r="J64" s="201"/>
      <c r="K64" s="197"/>
    </row>
    <row r="65" spans="1:11" ht="15" customHeight="1" x14ac:dyDescent="0.25">
      <c r="A65"/>
      <c r="B65" s="196"/>
      <c r="C65" s="201"/>
      <c r="D65" s="1034" t="s">
        <v>1746</v>
      </c>
      <c r="E65" s="1034"/>
      <c r="F65" s="1034"/>
      <c r="G65" s="1034"/>
      <c r="H65" s="1034"/>
      <c r="I65" s="1034"/>
      <c r="J65" s="1034"/>
      <c r="K65" s="197"/>
    </row>
    <row r="66" spans="1:11" ht="15" customHeight="1" x14ac:dyDescent="0.25">
      <c r="A66"/>
      <c r="B66" s="196"/>
      <c r="C66" s="201"/>
      <c r="D66" s="1036" t="s">
        <v>1747</v>
      </c>
      <c r="E66" s="1036"/>
      <c r="F66" s="1036"/>
      <c r="G66" s="1036"/>
      <c r="H66" s="1036"/>
      <c r="I66" s="1036"/>
      <c r="J66" s="1036"/>
      <c r="K66" s="197"/>
    </row>
    <row r="67" spans="1:11" ht="15" customHeight="1" x14ac:dyDescent="0.25">
      <c r="A67"/>
      <c r="B67" s="196"/>
      <c r="C67" s="201"/>
      <c r="D67" s="1034" t="s">
        <v>1748</v>
      </c>
      <c r="E67" s="1034"/>
      <c r="F67" s="1034"/>
      <c r="G67" s="1034"/>
      <c r="H67" s="1034"/>
      <c r="I67" s="1034"/>
      <c r="J67" s="1034"/>
      <c r="K67" s="197"/>
    </row>
    <row r="68" spans="1:11" ht="15" customHeight="1" x14ac:dyDescent="0.25">
      <c r="A68"/>
      <c r="B68" s="196"/>
      <c r="C68" s="201"/>
      <c r="D68" s="1034" t="s">
        <v>1749</v>
      </c>
      <c r="E68" s="1034"/>
      <c r="F68" s="1034"/>
      <c r="G68" s="1034"/>
      <c r="H68" s="1034"/>
      <c r="I68" s="1034"/>
      <c r="J68" s="1034"/>
      <c r="K68" s="197"/>
    </row>
    <row r="69" spans="1:11" ht="15" customHeight="1" x14ac:dyDescent="0.25">
      <c r="A69"/>
      <c r="B69" s="196"/>
      <c r="C69" s="201"/>
      <c r="D69" s="1034" t="s">
        <v>1750</v>
      </c>
      <c r="E69" s="1034"/>
      <c r="F69" s="1034"/>
      <c r="G69" s="1034"/>
      <c r="H69" s="1034"/>
      <c r="I69" s="1034"/>
      <c r="J69" s="1034"/>
      <c r="K69" s="197"/>
    </row>
    <row r="70" spans="1:11" ht="15" customHeight="1" x14ac:dyDescent="0.25">
      <c r="A70"/>
      <c r="B70" s="196"/>
      <c r="C70" s="201"/>
      <c r="D70" s="1034" t="s">
        <v>1751</v>
      </c>
      <c r="E70" s="1034"/>
      <c r="F70" s="1034"/>
      <c r="G70" s="1034"/>
      <c r="H70" s="1034"/>
      <c r="I70" s="1034"/>
      <c r="J70" s="1034"/>
      <c r="K70" s="197"/>
    </row>
    <row r="71" spans="1:11" ht="12.75" customHeight="1" x14ac:dyDescent="0.25">
      <c r="A71"/>
      <c r="B71" s="205"/>
      <c r="C71" s="206"/>
      <c r="D71" s="206"/>
      <c r="E71" s="206"/>
      <c r="F71" s="206"/>
      <c r="G71" s="206"/>
      <c r="H71" s="206"/>
      <c r="I71" s="206"/>
      <c r="J71" s="206"/>
      <c r="K71" s="207"/>
    </row>
    <row r="72" spans="1:11" ht="18.75" customHeight="1" x14ac:dyDescent="0.25">
      <c r="A72"/>
      <c r="B72" s="208"/>
      <c r="C72" s="208"/>
      <c r="D72" s="208"/>
      <c r="E72" s="208"/>
      <c r="F72" s="208"/>
      <c r="G72" s="208"/>
      <c r="H72" s="208"/>
      <c r="I72" s="208"/>
      <c r="J72" s="208"/>
      <c r="K72" s="208"/>
    </row>
    <row r="73" spans="1:11" ht="18.75" customHeight="1" x14ac:dyDescent="0.25">
      <c r="A73"/>
      <c r="B73" s="208"/>
      <c r="C73" s="208"/>
      <c r="D73" s="208"/>
      <c r="E73" s="208"/>
      <c r="F73" s="208"/>
      <c r="G73" s="208"/>
      <c r="H73" s="208"/>
      <c r="I73" s="208"/>
      <c r="J73" s="208"/>
      <c r="K73" s="208"/>
    </row>
    <row r="74" spans="1:11" ht="7.5" customHeight="1" x14ac:dyDescent="0.25">
      <c r="A74"/>
      <c r="B74" s="209"/>
      <c r="C74" s="210"/>
      <c r="D74" s="210"/>
      <c r="E74" s="210"/>
      <c r="F74" s="210"/>
      <c r="G74" s="210"/>
      <c r="H74" s="210"/>
      <c r="I74" s="210"/>
      <c r="J74" s="210"/>
      <c r="K74" s="211"/>
    </row>
    <row r="75" spans="1:11" ht="45" customHeight="1" x14ac:dyDescent="0.25">
      <c r="A75"/>
      <c r="B75" s="212"/>
      <c r="C75" s="1035" t="s">
        <v>1752</v>
      </c>
      <c r="D75" s="1035"/>
      <c r="E75" s="1035"/>
      <c r="F75" s="1035"/>
      <c r="G75" s="1035"/>
      <c r="H75" s="1035"/>
      <c r="I75" s="1035"/>
      <c r="J75" s="1035"/>
      <c r="K75" s="213"/>
    </row>
    <row r="76" spans="1:11" ht="17.25" customHeight="1" x14ac:dyDescent="0.25">
      <c r="A76"/>
      <c r="B76" s="212"/>
      <c r="C76" s="214" t="s">
        <v>1753</v>
      </c>
      <c r="D76" s="214"/>
      <c r="E76" s="214"/>
      <c r="F76" s="214" t="s">
        <v>1754</v>
      </c>
      <c r="G76" s="215"/>
      <c r="H76" s="214" t="s">
        <v>849</v>
      </c>
      <c r="I76" s="214" t="s">
        <v>847</v>
      </c>
      <c r="J76" s="214" t="s">
        <v>1755</v>
      </c>
      <c r="K76" s="213"/>
    </row>
    <row r="77" spans="1:11" ht="17.25" customHeight="1" x14ac:dyDescent="0.25">
      <c r="A77"/>
      <c r="B77" s="212"/>
      <c r="C77" s="216" t="s">
        <v>1756</v>
      </c>
      <c r="D77" s="216"/>
      <c r="E77" s="216"/>
      <c r="F77" s="217" t="s">
        <v>1757</v>
      </c>
      <c r="G77" s="218"/>
      <c r="H77" s="216"/>
      <c r="I77" s="216"/>
      <c r="J77" s="216" t="s">
        <v>1758</v>
      </c>
      <c r="K77" s="213"/>
    </row>
    <row r="78" spans="1:11" ht="5.25" customHeight="1" x14ac:dyDescent="0.25">
      <c r="A78"/>
      <c r="B78" s="212"/>
      <c r="C78" s="219"/>
      <c r="D78" s="219"/>
      <c r="E78" s="219"/>
      <c r="F78" s="219"/>
      <c r="G78" s="220"/>
      <c r="H78" s="219"/>
      <c r="I78" s="219"/>
      <c r="J78" s="219"/>
      <c r="K78" s="213"/>
    </row>
    <row r="79" spans="1:11" ht="15" customHeight="1" x14ac:dyDescent="0.25">
      <c r="A79"/>
      <c r="B79" s="212"/>
      <c r="C79" s="202" t="s">
        <v>848</v>
      </c>
      <c r="D79" s="221"/>
      <c r="E79" s="221"/>
      <c r="F79" s="222" t="s">
        <v>1759</v>
      </c>
      <c r="G79" s="202"/>
      <c r="H79" s="202" t="s">
        <v>1760</v>
      </c>
      <c r="I79" s="202" t="s">
        <v>1761</v>
      </c>
      <c r="J79" s="202">
        <v>20</v>
      </c>
      <c r="K79" s="213"/>
    </row>
    <row r="80" spans="1:11" ht="15" customHeight="1" x14ac:dyDescent="0.25">
      <c r="A80"/>
      <c r="B80" s="212"/>
      <c r="C80" s="202" t="s">
        <v>1762</v>
      </c>
      <c r="D80" s="202"/>
      <c r="E80" s="202"/>
      <c r="F80" s="222" t="s">
        <v>1759</v>
      </c>
      <c r="G80" s="202"/>
      <c r="H80" s="202" t="s">
        <v>1763</v>
      </c>
      <c r="I80" s="202" t="s">
        <v>1761</v>
      </c>
      <c r="J80" s="202">
        <v>120</v>
      </c>
      <c r="K80" s="213"/>
    </row>
    <row r="81" spans="1:11" ht="15" customHeight="1" x14ac:dyDescent="0.25">
      <c r="A81"/>
      <c r="B81" s="223"/>
      <c r="C81" s="202" t="s">
        <v>1764</v>
      </c>
      <c r="D81" s="202"/>
      <c r="E81" s="202"/>
      <c r="F81" s="222" t="s">
        <v>1765</v>
      </c>
      <c r="G81" s="202"/>
      <c r="H81" s="202" t="s">
        <v>1766</v>
      </c>
      <c r="I81" s="202" t="s">
        <v>1761</v>
      </c>
      <c r="J81" s="202">
        <v>50</v>
      </c>
      <c r="K81" s="213"/>
    </row>
    <row r="82" spans="1:11" ht="15" customHeight="1" x14ac:dyDescent="0.25">
      <c r="A82"/>
      <c r="B82" s="223"/>
      <c r="C82" s="202" t="s">
        <v>1767</v>
      </c>
      <c r="D82" s="202"/>
      <c r="E82" s="202"/>
      <c r="F82" s="222" t="s">
        <v>1759</v>
      </c>
      <c r="G82" s="202"/>
      <c r="H82" s="202" t="s">
        <v>1768</v>
      </c>
      <c r="I82" s="202" t="s">
        <v>1769</v>
      </c>
      <c r="J82" s="202"/>
      <c r="K82" s="213"/>
    </row>
    <row r="83" spans="1:11" ht="15" customHeight="1" x14ac:dyDescent="0.25">
      <c r="A83"/>
      <c r="B83" s="223"/>
      <c r="C83" s="202" t="s">
        <v>1770</v>
      </c>
      <c r="D83" s="202"/>
      <c r="E83" s="202"/>
      <c r="F83" s="222" t="s">
        <v>1765</v>
      </c>
      <c r="G83" s="202"/>
      <c r="H83" s="202" t="s">
        <v>1771</v>
      </c>
      <c r="I83" s="202" t="s">
        <v>1761</v>
      </c>
      <c r="J83" s="202">
        <v>15</v>
      </c>
      <c r="K83" s="213"/>
    </row>
    <row r="84" spans="1:11" ht="15" customHeight="1" x14ac:dyDescent="0.25">
      <c r="A84"/>
      <c r="B84" s="223"/>
      <c r="C84" s="202" t="s">
        <v>1772</v>
      </c>
      <c r="D84" s="202"/>
      <c r="E84" s="202"/>
      <c r="F84" s="222" t="s">
        <v>1765</v>
      </c>
      <c r="G84" s="202"/>
      <c r="H84" s="202" t="s">
        <v>1773</v>
      </c>
      <c r="I84" s="202" t="s">
        <v>1761</v>
      </c>
      <c r="J84" s="202">
        <v>15</v>
      </c>
      <c r="K84" s="213"/>
    </row>
    <row r="85" spans="1:11" ht="15" customHeight="1" x14ac:dyDescent="0.25">
      <c r="A85"/>
      <c r="B85" s="223"/>
      <c r="C85" s="202" t="s">
        <v>1774</v>
      </c>
      <c r="D85" s="202"/>
      <c r="E85" s="202"/>
      <c r="F85" s="222" t="s">
        <v>1765</v>
      </c>
      <c r="G85" s="202"/>
      <c r="H85" s="202" t="s">
        <v>1775</v>
      </c>
      <c r="I85" s="202" t="s">
        <v>1761</v>
      </c>
      <c r="J85" s="202">
        <v>20</v>
      </c>
      <c r="K85" s="213"/>
    </row>
    <row r="86" spans="1:11" ht="15" customHeight="1" x14ac:dyDescent="0.25">
      <c r="A86"/>
      <c r="B86" s="223"/>
      <c r="C86" s="202" t="s">
        <v>1776</v>
      </c>
      <c r="D86" s="202"/>
      <c r="E86" s="202"/>
      <c r="F86" s="222" t="s">
        <v>1765</v>
      </c>
      <c r="G86" s="202"/>
      <c r="H86" s="202" t="s">
        <v>1777</v>
      </c>
      <c r="I86" s="202" t="s">
        <v>1761</v>
      </c>
      <c r="J86" s="202">
        <v>20</v>
      </c>
      <c r="K86" s="213"/>
    </row>
    <row r="87" spans="1:11" ht="15" customHeight="1" x14ac:dyDescent="0.25">
      <c r="A87"/>
      <c r="B87" s="223"/>
      <c r="C87" s="202" t="s">
        <v>1778</v>
      </c>
      <c r="D87" s="202"/>
      <c r="E87" s="202"/>
      <c r="F87" s="222" t="s">
        <v>1765</v>
      </c>
      <c r="G87" s="202"/>
      <c r="H87" s="202" t="s">
        <v>1779</v>
      </c>
      <c r="I87" s="202" t="s">
        <v>1761</v>
      </c>
      <c r="J87" s="202">
        <v>50</v>
      </c>
      <c r="K87" s="213"/>
    </row>
    <row r="88" spans="1:11" ht="15" customHeight="1" x14ac:dyDescent="0.25">
      <c r="A88"/>
      <c r="B88" s="223"/>
      <c r="C88" s="202" t="s">
        <v>1780</v>
      </c>
      <c r="D88" s="202"/>
      <c r="E88" s="202"/>
      <c r="F88" s="222" t="s">
        <v>1765</v>
      </c>
      <c r="G88" s="202"/>
      <c r="H88" s="202" t="s">
        <v>1781</v>
      </c>
      <c r="I88" s="202" t="s">
        <v>1761</v>
      </c>
      <c r="J88" s="202">
        <v>20</v>
      </c>
      <c r="K88" s="213"/>
    </row>
    <row r="89" spans="1:11" ht="15" customHeight="1" x14ac:dyDescent="0.25">
      <c r="A89"/>
      <c r="B89" s="223"/>
      <c r="C89" s="202" t="s">
        <v>1782</v>
      </c>
      <c r="D89" s="202"/>
      <c r="E89" s="202"/>
      <c r="F89" s="222" t="s">
        <v>1765</v>
      </c>
      <c r="G89" s="202"/>
      <c r="H89" s="202" t="s">
        <v>1783</v>
      </c>
      <c r="I89" s="202" t="s">
        <v>1761</v>
      </c>
      <c r="J89" s="202">
        <v>20</v>
      </c>
      <c r="K89" s="213"/>
    </row>
    <row r="90" spans="1:11" ht="15" customHeight="1" x14ac:dyDescent="0.25">
      <c r="A90"/>
      <c r="B90" s="223"/>
      <c r="C90" s="202" t="s">
        <v>1784</v>
      </c>
      <c r="D90" s="202"/>
      <c r="E90" s="202"/>
      <c r="F90" s="222" t="s">
        <v>1765</v>
      </c>
      <c r="G90" s="202"/>
      <c r="H90" s="202" t="s">
        <v>1785</v>
      </c>
      <c r="I90" s="202" t="s">
        <v>1761</v>
      </c>
      <c r="J90" s="202">
        <v>50</v>
      </c>
      <c r="K90" s="213"/>
    </row>
    <row r="91" spans="1:11" ht="15" customHeight="1" x14ac:dyDescent="0.25">
      <c r="A91"/>
      <c r="B91" s="223"/>
      <c r="C91" s="202" t="s">
        <v>1786</v>
      </c>
      <c r="D91" s="202"/>
      <c r="E91" s="202"/>
      <c r="F91" s="222" t="s">
        <v>1765</v>
      </c>
      <c r="G91" s="202"/>
      <c r="H91" s="202" t="s">
        <v>1786</v>
      </c>
      <c r="I91" s="202" t="s">
        <v>1761</v>
      </c>
      <c r="J91" s="202">
        <v>50</v>
      </c>
      <c r="K91" s="213"/>
    </row>
    <row r="92" spans="1:11" ht="15" customHeight="1" x14ac:dyDescent="0.25">
      <c r="A92"/>
      <c r="B92" s="223"/>
      <c r="C92" s="202" t="s">
        <v>1787</v>
      </c>
      <c r="D92" s="202"/>
      <c r="E92" s="202"/>
      <c r="F92" s="222" t="s">
        <v>1765</v>
      </c>
      <c r="G92" s="202"/>
      <c r="H92" s="202" t="s">
        <v>1788</v>
      </c>
      <c r="I92" s="202" t="s">
        <v>1761</v>
      </c>
      <c r="J92" s="202">
        <v>255</v>
      </c>
      <c r="K92" s="213"/>
    </row>
    <row r="93" spans="1:11" ht="15" customHeight="1" x14ac:dyDescent="0.25">
      <c r="A93"/>
      <c r="B93" s="223"/>
      <c r="C93" s="202" t="s">
        <v>1789</v>
      </c>
      <c r="D93" s="202"/>
      <c r="E93" s="202"/>
      <c r="F93" s="222" t="s">
        <v>1759</v>
      </c>
      <c r="G93" s="202"/>
      <c r="H93" s="202" t="s">
        <v>1790</v>
      </c>
      <c r="I93" s="202" t="s">
        <v>1791</v>
      </c>
      <c r="J93" s="202"/>
      <c r="K93" s="213"/>
    </row>
    <row r="94" spans="1:11" ht="15" customHeight="1" x14ac:dyDescent="0.25">
      <c r="A94"/>
      <c r="B94" s="223"/>
      <c r="C94" s="202" t="s">
        <v>1792</v>
      </c>
      <c r="D94" s="202"/>
      <c r="E94" s="202"/>
      <c r="F94" s="222" t="s">
        <v>1759</v>
      </c>
      <c r="G94" s="202"/>
      <c r="H94" s="202" t="s">
        <v>1793</v>
      </c>
      <c r="I94" s="202" t="s">
        <v>1794</v>
      </c>
      <c r="J94" s="202"/>
      <c r="K94" s="213"/>
    </row>
    <row r="95" spans="1:11" ht="15" customHeight="1" x14ac:dyDescent="0.25">
      <c r="A95"/>
      <c r="B95" s="223"/>
      <c r="C95" s="202" t="s">
        <v>1795</v>
      </c>
      <c r="D95" s="202"/>
      <c r="E95" s="202"/>
      <c r="F95" s="222" t="s">
        <v>1759</v>
      </c>
      <c r="G95" s="202"/>
      <c r="H95" s="202" t="s">
        <v>1795</v>
      </c>
      <c r="I95" s="202" t="s">
        <v>1794</v>
      </c>
      <c r="J95" s="202"/>
      <c r="K95" s="213"/>
    </row>
    <row r="96" spans="1:11" ht="15" customHeight="1" x14ac:dyDescent="0.25">
      <c r="A96"/>
      <c r="B96" s="223"/>
      <c r="C96" s="202" t="s">
        <v>799</v>
      </c>
      <c r="D96" s="202"/>
      <c r="E96" s="202"/>
      <c r="F96" s="222" t="s">
        <v>1759</v>
      </c>
      <c r="G96" s="202"/>
      <c r="H96" s="202" t="s">
        <v>1796</v>
      </c>
      <c r="I96" s="202" t="s">
        <v>1794</v>
      </c>
      <c r="J96" s="202"/>
      <c r="K96" s="213"/>
    </row>
    <row r="97" spans="1:11" ht="15" customHeight="1" x14ac:dyDescent="0.25">
      <c r="A97"/>
      <c r="B97" s="223"/>
      <c r="C97" s="202" t="s">
        <v>824</v>
      </c>
      <c r="D97" s="202"/>
      <c r="E97" s="202"/>
      <c r="F97" s="222" t="s">
        <v>1759</v>
      </c>
      <c r="G97" s="202"/>
      <c r="H97" s="202" t="s">
        <v>1797</v>
      </c>
      <c r="I97" s="202" t="s">
        <v>1794</v>
      </c>
      <c r="J97" s="202"/>
      <c r="K97" s="213"/>
    </row>
    <row r="98" spans="1:11" ht="15" customHeight="1" x14ac:dyDescent="0.25">
      <c r="A98"/>
      <c r="B98" s="224"/>
      <c r="C98" s="225"/>
      <c r="D98" s="225"/>
      <c r="E98" s="225"/>
      <c r="F98" s="225"/>
      <c r="G98" s="225"/>
      <c r="H98" s="225"/>
      <c r="I98" s="225"/>
      <c r="J98" s="225"/>
      <c r="K98" s="226"/>
    </row>
    <row r="99" spans="1:11" ht="18.75" customHeight="1" x14ac:dyDescent="0.25">
      <c r="A99"/>
      <c r="B99" s="227"/>
      <c r="C99" s="228"/>
      <c r="D99" s="228"/>
      <c r="E99" s="228"/>
      <c r="F99" s="228"/>
      <c r="G99" s="228"/>
      <c r="H99" s="228"/>
      <c r="I99" s="228"/>
      <c r="J99" s="228"/>
      <c r="K99" s="227"/>
    </row>
    <row r="100" spans="1:11" ht="18.600000000000001" customHeight="1" x14ac:dyDescent="0.25">
      <c r="A100"/>
      <c r="B100" s="208"/>
      <c r="C100" s="208"/>
      <c r="D100" s="208"/>
      <c r="E100" s="208"/>
      <c r="F100" s="208"/>
      <c r="G100" s="208"/>
      <c r="H100" s="208"/>
      <c r="I100" s="208"/>
      <c r="J100" s="208"/>
      <c r="K100" s="208"/>
    </row>
    <row r="101" spans="1:11" ht="7.2" customHeight="1" x14ac:dyDescent="0.25">
      <c r="A101"/>
      <c r="B101" s="209"/>
      <c r="C101" s="210"/>
      <c r="D101" s="210"/>
      <c r="E101" s="210"/>
      <c r="F101" s="210"/>
      <c r="G101" s="210"/>
      <c r="H101" s="210"/>
      <c r="I101" s="210"/>
      <c r="J101" s="210"/>
      <c r="K101" s="211"/>
    </row>
    <row r="102" spans="1:11" ht="45" customHeight="1" x14ac:dyDescent="0.25">
      <c r="A102"/>
      <c r="B102" s="212"/>
      <c r="C102" s="1035" t="s">
        <v>1798</v>
      </c>
      <c r="D102" s="1035"/>
      <c r="E102" s="1035"/>
      <c r="F102" s="1035"/>
      <c r="G102" s="1035"/>
      <c r="H102" s="1035"/>
      <c r="I102" s="1035"/>
      <c r="J102" s="1035"/>
      <c r="K102" s="213"/>
    </row>
    <row r="103" spans="1:11" ht="17.25" customHeight="1" x14ac:dyDescent="0.25">
      <c r="A103"/>
      <c r="B103" s="212"/>
      <c r="C103" s="214" t="s">
        <v>1753</v>
      </c>
      <c r="D103" s="214"/>
      <c r="E103" s="214"/>
      <c r="F103" s="214" t="s">
        <v>1754</v>
      </c>
      <c r="G103" s="215"/>
      <c r="H103" s="214" t="s">
        <v>849</v>
      </c>
      <c r="I103" s="214" t="s">
        <v>847</v>
      </c>
      <c r="J103" s="214" t="s">
        <v>1755</v>
      </c>
      <c r="K103" s="213"/>
    </row>
    <row r="104" spans="1:11" ht="17.25" customHeight="1" x14ac:dyDescent="0.25">
      <c r="A104"/>
      <c r="B104" s="212"/>
      <c r="C104" s="216" t="s">
        <v>1756</v>
      </c>
      <c r="D104" s="216"/>
      <c r="E104" s="216"/>
      <c r="F104" s="217" t="s">
        <v>1757</v>
      </c>
      <c r="G104" s="218"/>
      <c r="H104" s="216"/>
      <c r="I104" s="216"/>
      <c r="J104" s="216" t="s">
        <v>1758</v>
      </c>
      <c r="K104" s="213"/>
    </row>
    <row r="105" spans="1:11" ht="5.25" customHeight="1" x14ac:dyDescent="0.25">
      <c r="A105"/>
      <c r="B105" s="212"/>
      <c r="C105" s="214"/>
      <c r="D105" s="214"/>
      <c r="E105" s="214"/>
      <c r="F105" s="214"/>
      <c r="G105" s="215"/>
      <c r="H105" s="214"/>
      <c r="I105" s="214"/>
      <c r="J105" s="214"/>
      <c r="K105" s="213"/>
    </row>
    <row r="106" spans="1:11" ht="15" customHeight="1" x14ac:dyDescent="0.25">
      <c r="A106"/>
      <c r="B106" s="212"/>
      <c r="C106" s="202" t="s">
        <v>848</v>
      </c>
      <c r="D106" s="221"/>
      <c r="E106" s="221"/>
      <c r="F106" s="222" t="s">
        <v>1759</v>
      </c>
      <c r="G106" s="202"/>
      <c r="H106" s="202" t="s">
        <v>1799</v>
      </c>
      <c r="I106" s="202" t="s">
        <v>1761</v>
      </c>
      <c r="J106" s="202">
        <v>20</v>
      </c>
      <c r="K106" s="213"/>
    </row>
    <row r="107" spans="1:11" ht="15" customHeight="1" x14ac:dyDescent="0.25">
      <c r="A107"/>
      <c r="B107" s="212"/>
      <c r="C107" s="202" t="s">
        <v>1762</v>
      </c>
      <c r="D107" s="202"/>
      <c r="E107" s="202"/>
      <c r="F107" s="222" t="s">
        <v>1759</v>
      </c>
      <c r="G107" s="202"/>
      <c r="H107" s="202" t="s">
        <v>1799</v>
      </c>
      <c r="I107" s="202" t="s">
        <v>1761</v>
      </c>
      <c r="J107" s="202">
        <v>120</v>
      </c>
      <c r="K107" s="213"/>
    </row>
    <row r="108" spans="1:11" ht="15" customHeight="1" x14ac:dyDescent="0.25">
      <c r="A108"/>
      <c r="B108" s="223"/>
      <c r="C108" s="202" t="s">
        <v>1764</v>
      </c>
      <c r="D108" s="202"/>
      <c r="E108" s="202"/>
      <c r="F108" s="222" t="s">
        <v>1765</v>
      </c>
      <c r="G108" s="202"/>
      <c r="H108" s="202" t="s">
        <v>1799</v>
      </c>
      <c r="I108" s="202" t="s">
        <v>1761</v>
      </c>
      <c r="J108" s="202">
        <v>50</v>
      </c>
      <c r="K108" s="213"/>
    </row>
    <row r="109" spans="1:11" ht="15" customHeight="1" x14ac:dyDescent="0.25">
      <c r="A109"/>
      <c r="B109" s="223"/>
      <c r="C109" s="202" t="s">
        <v>1767</v>
      </c>
      <c r="D109" s="202"/>
      <c r="E109" s="202"/>
      <c r="F109" s="222" t="s">
        <v>1759</v>
      </c>
      <c r="G109" s="202"/>
      <c r="H109" s="202" t="s">
        <v>1799</v>
      </c>
      <c r="I109" s="202" t="s">
        <v>1769</v>
      </c>
      <c r="J109" s="202"/>
      <c r="K109" s="213"/>
    </row>
    <row r="110" spans="1:11" ht="15" customHeight="1" x14ac:dyDescent="0.25">
      <c r="A110"/>
      <c r="B110" s="223"/>
      <c r="C110" s="202" t="s">
        <v>1778</v>
      </c>
      <c r="D110" s="202"/>
      <c r="E110" s="202"/>
      <c r="F110" s="222" t="s">
        <v>1765</v>
      </c>
      <c r="G110" s="202"/>
      <c r="H110" s="202" t="s">
        <v>1799</v>
      </c>
      <c r="I110" s="202" t="s">
        <v>1761</v>
      </c>
      <c r="J110" s="202">
        <v>50</v>
      </c>
      <c r="K110" s="213"/>
    </row>
    <row r="111" spans="1:11" ht="15" customHeight="1" x14ac:dyDescent="0.25">
      <c r="A111"/>
      <c r="B111" s="223"/>
      <c r="C111" s="202" t="s">
        <v>1786</v>
      </c>
      <c r="D111" s="202"/>
      <c r="E111" s="202"/>
      <c r="F111" s="222" t="s">
        <v>1765</v>
      </c>
      <c r="G111" s="202"/>
      <c r="H111" s="202" t="s">
        <v>1799</v>
      </c>
      <c r="I111" s="202" t="s">
        <v>1761</v>
      </c>
      <c r="J111" s="202">
        <v>50</v>
      </c>
      <c r="K111" s="213"/>
    </row>
    <row r="112" spans="1:11" ht="15" customHeight="1" x14ac:dyDescent="0.25">
      <c r="A112"/>
      <c r="B112" s="223"/>
      <c r="C112" s="202" t="s">
        <v>1784</v>
      </c>
      <c r="D112" s="202"/>
      <c r="E112" s="202"/>
      <c r="F112" s="222" t="s">
        <v>1765</v>
      </c>
      <c r="G112" s="202"/>
      <c r="H112" s="202" t="s">
        <v>1799</v>
      </c>
      <c r="I112" s="202" t="s">
        <v>1761</v>
      </c>
      <c r="J112" s="202">
        <v>50</v>
      </c>
      <c r="K112" s="213"/>
    </row>
    <row r="113" spans="1:11" ht="15" customHeight="1" x14ac:dyDescent="0.25">
      <c r="A113"/>
      <c r="B113" s="223"/>
      <c r="C113" s="202" t="s">
        <v>848</v>
      </c>
      <c r="D113" s="202"/>
      <c r="E113" s="202"/>
      <c r="F113" s="222" t="s">
        <v>1759</v>
      </c>
      <c r="G113" s="202"/>
      <c r="H113" s="202" t="s">
        <v>1800</v>
      </c>
      <c r="I113" s="202" t="s">
        <v>1761</v>
      </c>
      <c r="J113" s="202">
        <v>20</v>
      </c>
      <c r="K113" s="213"/>
    </row>
    <row r="114" spans="1:11" ht="15" customHeight="1" x14ac:dyDescent="0.25">
      <c r="A114"/>
      <c r="B114" s="223"/>
      <c r="C114" s="202" t="s">
        <v>1801</v>
      </c>
      <c r="D114" s="202"/>
      <c r="E114" s="202"/>
      <c r="F114" s="222" t="s">
        <v>1759</v>
      </c>
      <c r="G114" s="202"/>
      <c r="H114" s="202" t="s">
        <v>1802</v>
      </c>
      <c r="I114" s="202" t="s">
        <v>1761</v>
      </c>
      <c r="J114" s="202">
        <v>120</v>
      </c>
      <c r="K114" s="213"/>
    </row>
    <row r="115" spans="1:11" ht="15" customHeight="1" x14ac:dyDescent="0.25">
      <c r="A115"/>
      <c r="B115" s="223"/>
      <c r="C115" s="202" t="s">
        <v>799</v>
      </c>
      <c r="D115" s="202"/>
      <c r="E115" s="202"/>
      <c r="F115" s="222" t="s">
        <v>1759</v>
      </c>
      <c r="G115" s="202"/>
      <c r="H115" s="202" t="s">
        <v>1803</v>
      </c>
      <c r="I115" s="202" t="s">
        <v>1794</v>
      </c>
      <c r="J115" s="202"/>
      <c r="K115" s="213"/>
    </row>
    <row r="116" spans="1:11" ht="15" customHeight="1" x14ac:dyDescent="0.25">
      <c r="A116"/>
      <c r="B116" s="223"/>
      <c r="C116" s="202" t="s">
        <v>824</v>
      </c>
      <c r="D116" s="202"/>
      <c r="E116" s="202"/>
      <c r="F116" s="222" t="s">
        <v>1759</v>
      </c>
      <c r="G116" s="202"/>
      <c r="H116" s="202" t="s">
        <v>1804</v>
      </c>
      <c r="I116" s="202" t="s">
        <v>1794</v>
      </c>
      <c r="J116" s="202"/>
      <c r="K116" s="213"/>
    </row>
    <row r="117" spans="1:11" ht="15" customHeight="1" x14ac:dyDescent="0.25">
      <c r="A117"/>
      <c r="B117" s="223"/>
      <c r="C117" s="202" t="s">
        <v>847</v>
      </c>
      <c r="D117" s="202"/>
      <c r="E117" s="202"/>
      <c r="F117" s="222" t="s">
        <v>1759</v>
      </c>
      <c r="G117" s="202"/>
      <c r="H117" s="202" t="s">
        <v>1805</v>
      </c>
      <c r="I117" s="202" t="s">
        <v>1806</v>
      </c>
      <c r="J117" s="202"/>
      <c r="K117" s="213"/>
    </row>
    <row r="118" spans="1:11" ht="15" customHeight="1" x14ac:dyDescent="0.25">
      <c r="A118"/>
      <c r="B118" s="224"/>
      <c r="C118" s="229"/>
      <c r="D118" s="229"/>
      <c r="E118" s="229"/>
      <c r="F118" s="229"/>
      <c r="G118" s="229"/>
      <c r="H118" s="229"/>
      <c r="I118" s="229"/>
      <c r="J118" s="229"/>
      <c r="K118" s="226"/>
    </row>
    <row r="119" spans="1:11" ht="18.75" customHeight="1" x14ac:dyDescent="0.25">
      <c r="A119"/>
      <c r="B119" s="230"/>
      <c r="C119" s="231"/>
      <c r="D119" s="231"/>
      <c r="E119" s="231"/>
      <c r="F119" s="232"/>
      <c r="G119" s="231"/>
      <c r="H119" s="231"/>
      <c r="I119" s="231"/>
      <c r="J119" s="231"/>
      <c r="K119" s="230"/>
    </row>
    <row r="120" spans="1:11" ht="18.75" customHeight="1" x14ac:dyDescent="0.25">
      <c r="A120"/>
      <c r="B120" s="208"/>
      <c r="C120" s="208"/>
      <c r="D120" s="208"/>
      <c r="E120" s="208"/>
      <c r="F120" s="208"/>
      <c r="G120" s="208"/>
      <c r="H120" s="208"/>
      <c r="I120" s="208"/>
      <c r="J120" s="208"/>
      <c r="K120" s="208"/>
    </row>
    <row r="121" spans="1:11" ht="7.5" customHeight="1" x14ac:dyDescent="0.25">
      <c r="A121"/>
      <c r="B121" s="233"/>
      <c r="C121" s="234"/>
      <c r="D121" s="234"/>
      <c r="E121" s="234"/>
      <c r="F121" s="234"/>
      <c r="G121" s="234"/>
      <c r="H121" s="234"/>
      <c r="I121" s="234"/>
      <c r="J121" s="234"/>
      <c r="K121" s="235"/>
    </row>
    <row r="122" spans="1:11" ht="45" customHeight="1" x14ac:dyDescent="0.25">
      <c r="A122"/>
      <c r="B122" s="236"/>
      <c r="C122" s="1031" t="s">
        <v>1807</v>
      </c>
      <c r="D122" s="1031"/>
      <c r="E122" s="1031"/>
      <c r="F122" s="1031"/>
      <c r="G122" s="1031"/>
      <c r="H122" s="1031"/>
      <c r="I122" s="1031"/>
      <c r="J122" s="1031"/>
      <c r="K122" s="237"/>
    </row>
    <row r="123" spans="1:11" ht="17.25" customHeight="1" x14ac:dyDescent="0.25">
      <c r="A123"/>
      <c r="B123" s="238"/>
      <c r="C123" s="214" t="s">
        <v>1753</v>
      </c>
      <c r="D123" s="214"/>
      <c r="E123" s="214"/>
      <c r="F123" s="214" t="s">
        <v>1754</v>
      </c>
      <c r="G123" s="215"/>
      <c r="H123" s="214" t="s">
        <v>849</v>
      </c>
      <c r="I123" s="214" t="s">
        <v>847</v>
      </c>
      <c r="J123" s="214" t="s">
        <v>1755</v>
      </c>
      <c r="K123" s="239"/>
    </row>
    <row r="124" spans="1:11" ht="17.25" customHeight="1" x14ac:dyDescent="0.25">
      <c r="A124"/>
      <c r="B124" s="238"/>
      <c r="C124" s="216" t="s">
        <v>1756</v>
      </c>
      <c r="D124" s="216"/>
      <c r="E124" s="216"/>
      <c r="F124" s="217" t="s">
        <v>1757</v>
      </c>
      <c r="G124" s="218"/>
      <c r="H124" s="216"/>
      <c r="I124" s="216"/>
      <c r="J124" s="216" t="s">
        <v>1758</v>
      </c>
      <c r="K124" s="239"/>
    </row>
    <row r="125" spans="1:11" ht="5.25" customHeight="1" x14ac:dyDescent="0.25">
      <c r="A125"/>
      <c r="B125" s="240"/>
      <c r="C125" s="219"/>
      <c r="D125" s="219"/>
      <c r="E125" s="219"/>
      <c r="F125" s="219"/>
      <c r="G125" s="220"/>
      <c r="H125" s="219"/>
      <c r="I125" s="219"/>
      <c r="J125" s="219"/>
      <c r="K125" s="241"/>
    </row>
    <row r="126" spans="1:11" ht="15" customHeight="1" x14ac:dyDescent="0.25">
      <c r="A126"/>
      <c r="B126" s="240"/>
      <c r="C126" s="202" t="s">
        <v>1762</v>
      </c>
      <c r="D126" s="221"/>
      <c r="E126" s="221"/>
      <c r="F126" s="222" t="s">
        <v>1759</v>
      </c>
      <c r="G126" s="202"/>
      <c r="H126" s="202" t="s">
        <v>1799</v>
      </c>
      <c r="I126" s="202" t="s">
        <v>1761</v>
      </c>
      <c r="J126" s="202">
        <v>120</v>
      </c>
      <c r="K126" s="242"/>
    </row>
    <row r="127" spans="1:11" ht="15" customHeight="1" x14ac:dyDescent="0.25">
      <c r="A127"/>
      <c r="B127" s="240"/>
      <c r="C127" s="202" t="s">
        <v>1808</v>
      </c>
      <c r="D127" s="202"/>
      <c r="E127" s="202"/>
      <c r="F127" s="222" t="s">
        <v>1759</v>
      </c>
      <c r="G127" s="202"/>
      <c r="H127" s="202" t="s">
        <v>1809</v>
      </c>
      <c r="I127" s="202" t="s">
        <v>1761</v>
      </c>
      <c r="J127" s="202" t="s">
        <v>1810</v>
      </c>
      <c r="K127" s="242"/>
    </row>
    <row r="128" spans="1:11" ht="15" customHeight="1" x14ac:dyDescent="0.25">
      <c r="A128"/>
      <c r="B128" s="240"/>
      <c r="C128" s="202" t="s">
        <v>1707</v>
      </c>
      <c r="D128" s="202"/>
      <c r="E128" s="202"/>
      <c r="F128" s="222" t="s">
        <v>1759</v>
      </c>
      <c r="G128" s="202"/>
      <c r="H128" s="202" t="s">
        <v>1811</v>
      </c>
      <c r="I128" s="202" t="s">
        <v>1761</v>
      </c>
      <c r="J128" s="202" t="s">
        <v>1810</v>
      </c>
      <c r="K128" s="242"/>
    </row>
    <row r="129" spans="1:11" ht="15" customHeight="1" x14ac:dyDescent="0.25">
      <c r="A129"/>
      <c r="B129" s="240"/>
      <c r="C129" s="202" t="s">
        <v>1770</v>
      </c>
      <c r="D129" s="202"/>
      <c r="E129" s="202"/>
      <c r="F129" s="222" t="s">
        <v>1765</v>
      </c>
      <c r="G129" s="202"/>
      <c r="H129" s="202" t="s">
        <v>1771</v>
      </c>
      <c r="I129" s="202" t="s">
        <v>1761</v>
      </c>
      <c r="J129" s="202">
        <v>15</v>
      </c>
      <c r="K129" s="242"/>
    </row>
    <row r="130" spans="1:11" ht="15" customHeight="1" x14ac:dyDescent="0.25">
      <c r="A130"/>
      <c r="B130" s="240"/>
      <c r="C130" s="202" t="s">
        <v>1772</v>
      </c>
      <c r="D130" s="202"/>
      <c r="E130" s="202"/>
      <c r="F130" s="222" t="s">
        <v>1765</v>
      </c>
      <c r="G130" s="202"/>
      <c r="H130" s="202" t="s">
        <v>1773</v>
      </c>
      <c r="I130" s="202" t="s">
        <v>1761</v>
      </c>
      <c r="J130" s="202">
        <v>15</v>
      </c>
      <c r="K130" s="242"/>
    </row>
    <row r="131" spans="1:11" ht="15" customHeight="1" x14ac:dyDescent="0.25">
      <c r="A131"/>
      <c r="B131" s="240"/>
      <c r="C131" s="202" t="s">
        <v>1774</v>
      </c>
      <c r="D131" s="202"/>
      <c r="E131" s="202"/>
      <c r="F131" s="222" t="s">
        <v>1765</v>
      </c>
      <c r="G131" s="202"/>
      <c r="H131" s="202" t="s">
        <v>1775</v>
      </c>
      <c r="I131" s="202" t="s">
        <v>1761</v>
      </c>
      <c r="J131" s="202">
        <v>20</v>
      </c>
      <c r="K131" s="242"/>
    </row>
    <row r="132" spans="1:11" ht="15" customHeight="1" x14ac:dyDescent="0.25">
      <c r="A132"/>
      <c r="B132" s="240"/>
      <c r="C132" s="202" t="s">
        <v>1776</v>
      </c>
      <c r="D132" s="202"/>
      <c r="E132" s="202"/>
      <c r="F132" s="222" t="s">
        <v>1765</v>
      </c>
      <c r="G132" s="202"/>
      <c r="H132" s="202" t="s">
        <v>1777</v>
      </c>
      <c r="I132" s="202" t="s">
        <v>1761</v>
      </c>
      <c r="J132" s="202">
        <v>20</v>
      </c>
      <c r="K132" s="242"/>
    </row>
    <row r="133" spans="1:11" ht="15" customHeight="1" x14ac:dyDescent="0.25">
      <c r="A133"/>
      <c r="B133" s="240"/>
      <c r="C133" s="202" t="s">
        <v>1764</v>
      </c>
      <c r="D133" s="202"/>
      <c r="E133" s="202"/>
      <c r="F133" s="222" t="s">
        <v>1765</v>
      </c>
      <c r="G133" s="202"/>
      <c r="H133" s="202" t="s">
        <v>1799</v>
      </c>
      <c r="I133" s="202" t="s">
        <v>1761</v>
      </c>
      <c r="J133" s="202">
        <v>50</v>
      </c>
      <c r="K133" s="242"/>
    </row>
    <row r="134" spans="1:11" ht="15" customHeight="1" x14ac:dyDescent="0.25">
      <c r="A134"/>
      <c r="B134" s="240"/>
      <c r="C134" s="202" t="s">
        <v>1778</v>
      </c>
      <c r="D134" s="202"/>
      <c r="E134" s="202"/>
      <c r="F134" s="222" t="s">
        <v>1765</v>
      </c>
      <c r="G134" s="202"/>
      <c r="H134" s="202" t="s">
        <v>1799</v>
      </c>
      <c r="I134" s="202" t="s">
        <v>1761</v>
      </c>
      <c r="J134" s="202">
        <v>50</v>
      </c>
      <c r="K134" s="242"/>
    </row>
    <row r="135" spans="1:11" ht="15" customHeight="1" x14ac:dyDescent="0.25">
      <c r="A135"/>
      <c r="B135" s="240"/>
      <c r="C135" s="202" t="s">
        <v>1784</v>
      </c>
      <c r="D135" s="202"/>
      <c r="E135" s="202"/>
      <c r="F135" s="222" t="s">
        <v>1765</v>
      </c>
      <c r="G135" s="202"/>
      <c r="H135" s="202" t="s">
        <v>1799</v>
      </c>
      <c r="I135" s="202" t="s">
        <v>1761</v>
      </c>
      <c r="J135" s="202">
        <v>50</v>
      </c>
      <c r="K135" s="242"/>
    </row>
    <row r="136" spans="1:11" ht="15" customHeight="1" x14ac:dyDescent="0.25">
      <c r="A136"/>
      <c r="B136" s="240"/>
      <c r="C136" s="202" t="s">
        <v>1786</v>
      </c>
      <c r="D136" s="202"/>
      <c r="E136" s="202"/>
      <c r="F136" s="222" t="s">
        <v>1765</v>
      </c>
      <c r="G136" s="202"/>
      <c r="H136" s="202" t="s">
        <v>1799</v>
      </c>
      <c r="I136" s="202" t="s">
        <v>1761</v>
      </c>
      <c r="J136" s="202">
        <v>50</v>
      </c>
      <c r="K136" s="242"/>
    </row>
    <row r="137" spans="1:11" ht="15" customHeight="1" x14ac:dyDescent="0.25">
      <c r="A137"/>
      <c r="B137" s="240"/>
      <c r="C137" s="202" t="s">
        <v>1787</v>
      </c>
      <c r="D137" s="202"/>
      <c r="E137" s="202"/>
      <c r="F137" s="222" t="s">
        <v>1765</v>
      </c>
      <c r="G137" s="202"/>
      <c r="H137" s="202" t="s">
        <v>1812</v>
      </c>
      <c r="I137" s="202" t="s">
        <v>1761</v>
      </c>
      <c r="J137" s="202">
        <v>255</v>
      </c>
      <c r="K137" s="242"/>
    </row>
    <row r="138" spans="1:11" ht="15" customHeight="1" x14ac:dyDescent="0.25">
      <c r="A138"/>
      <c r="B138" s="240"/>
      <c r="C138" s="202" t="s">
        <v>1789</v>
      </c>
      <c r="D138" s="202"/>
      <c r="E138" s="202"/>
      <c r="F138" s="222" t="s">
        <v>1759</v>
      </c>
      <c r="G138" s="202"/>
      <c r="H138" s="202" t="s">
        <v>1813</v>
      </c>
      <c r="I138" s="202" t="s">
        <v>1791</v>
      </c>
      <c r="J138" s="202"/>
      <c r="K138" s="242"/>
    </row>
    <row r="139" spans="1:11" ht="15" customHeight="1" x14ac:dyDescent="0.25">
      <c r="A139"/>
      <c r="B139" s="240"/>
      <c r="C139" s="202" t="s">
        <v>1792</v>
      </c>
      <c r="D139" s="202"/>
      <c r="E139" s="202"/>
      <c r="F139" s="222" t="s">
        <v>1759</v>
      </c>
      <c r="G139" s="202"/>
      <c r="H139" s="202" t="s">
        <v>1814</v>
      </c>
      <c r="I139" s="202" t="s">
        <v>1794</v>
      </c>
      <c r="J139" s="202"/>
      <c r="K139" s="242"/>
    </row>
    <row r="140" spans="1:11" ht="15" customHeight="1" x14ac:dyDescent="0.25">
      <c r="A140"/>
      <c r="B140" s="240"/>
      <c r="C140" s="202" t="s">
        <v>1795</v>
      </c>
      <c r="D140" s="202"/>
      <c r="E140" s="202"/>
      <c r="F140" s="222" t="s">
        <v>1759</v>
      </c>
      <c r="G140" s="202"/>
      <c r="H140" s="202" t="s">
        <v>1795</v>
      </c>
      <c r="I140" s="202" t="s">
        <v>1794</v>
      </c>
      <c r="J140" s="202"/>
      <c r="K140" s="242"/>
    </row>
    <row r="141" spans="1:11" ht="15" customHeight="1" x14ac:dyDescent="0.25">
      <c r="A141"/>
      <c r="B141" s="240"/>
      <c r="C141" s="202" t="s">
        <v>799</v>
      </c>
      <c r="D141" s="202"/>
      <c r="E141" s="202"/>
      <c r="F141" s="222" t="s">
        <v>1759</v>
      </c>
      <c r="G141" s="202"/>
      <c r="H141" s="202" t="s">
        <v>1815</v>
      </c>
      <c r="I141" s="202" t="s">
        <v>1794</v>
      </c>
      <c r="J141" s="202"/>
      <c r="K141" s="242"/>
    </row>
    <row r="142" spans="1:11" ht="15" customHeight="1" x14ac:dyDescent="0.25">
      <c r="A142"/>
      <c r="B142" s="240"/>
      <c r="C142" s="202" t="s">
        <v>1816</v>
      </c>
      <c r="D142" s="202"/>
      <c r="E142" s="202"/>
      <c r="F142" s="222" t="s">
        <v>1759</v>
      </c>
      <c r="G142" s="202"/>
      <c r="H142" s="202" t="s">
        <v>1817</v>
      </c>
      <c r="I142" s="202" t="s">
        <v>1794</v>
      </c>
      <c r="J142" s="202"/>
      <c r="K142" s="242"/>
    </row>
    <row r="143" spans="1:11" ht="15" customHeight="1" x14ac:dyDescent="0.25">
      <c r="A143"/>
      <c r="B143" s="243"/>
      <c r="C143" s="244"/>
      <c r="D143" s="244"/>
      <c r="E143" s="244"/>
      <c r="F143" s="244"/>
      <c r="G143" s="244"/>
      <c r="H143" s="244"/>
      <c r="I143" s="244"/>
      <c r="J143" s="244"/>
      <c r="K143" s="245"/>
    </row>
    <row r="144" spans="1:11" ht="18.75" customHeight="1" x14ac:dyDescent="0.25">
      <c r="A144"/>
      <c r="B144" s="231"/>
      <c r="C144" s="231"/>
      <c r="D144" s="231"/>
      <c r="E144" s="231"/>
      <c r="F144" s="232"/>
      <c r="G144" s="231"/>
      <c r="H144" s="231"/>
      <c r="I144" s="231"/>
      <c r="J144" s="231"/>
      <c r="K144" s="231"/>
    </row>
    <row r="145" spans="1:11" ht="18.75" customHeight="1" x14ac:dyDescent="0.25">
      <c r="A145"/>
      <c r="B145" s="208"/>
      <c r="C145" s="208"/>
      <c r="D145" s="208"/>
      <c r="E145" s="208"/>
      <c r="F145" s="208"/>
      <c r="G145" s="208"/>
      <c r="H145" s="208"/>
      <c r="I145" s="208"/>
      <c r="J145" s="208"/>
      <c r="K145" s="208"/>
    </row>
    <row r="146" spans="1:11" ht="7.5" customHeight="1" x14ac:dyDescent="0.25">
      <c r="A146"/>
      <c r="B146" s="209"/>
      <c r="C146" s="210"/>
      <c r="D146" s="210"/>
      <c r="E146" s="210"/>
      <c r="F146" s="210"/>
      <c r="G146" s="210"/>
      <c r="H146" s="210"/>
      <c r="I146" s="210"/>
      <c r="J146" s="210"/>
      <c r="K146" s="211"/>
    </row>
    <row r="147" spans="1:11" ht="45" customHeight="1" x14ac:dyDescent="0.25">
      <c r="A147"/>
      <c r="B147" s="212"/>
      <c r="C147" s="1035" t="s">
        <v>1818</v>
      </c>
      <c r="D147" s="1035"/>
      <c r="E147" s="1035"/>
      <c r="F147" s="1035"/>
      <c r="G147" s="1035"/>
      <c r="H147" s="1035"/>
      <c r="I147" s="1035"/>
      <c r="J147" s="1035"/>
      <c r="K147" s="213"/>
    </row>
    <row r="148" spans="1:11" ht="17.25" customHeight="1" x14ac:dyDescent="0.25">
      <c r="A148"/>
      <c r="B148" s="212"/>
      <c r="C148" s="214" t="s">
        <v>1753</v>
      </c>
      <c r="D148" s="214"/>
      <c r="E148" s="214"/>
      <c r="F148" s="214" t="s">
        <v>1754</v>
      </c>
      <c r="G148" s="215"/>
      <c r="H148" s="214" t="s">
        <v>849</v>
      </c>
      <c r="I148" s="214" t="s">
        <v>847</v>
      </c>
      <c r="J148" s="214" t="s">
        <v>1755</v>
      </c>
      <c r="K148" s="213"/>
    </row>
    <row r="149" spans="1:11" ht="17.25" customHeight="1" x14ac:dyDescent="0.25">
      <c r="A149"/>
      <c r="B149" s="212"/>
      <c r="C149" s="216" t="s">
        <v>1756</v>
      </c>
      <c r="D149" s="216"/>
      <c r="E149" s="216"/>
      <c r="F149" s="217" t="s">
        <v>1757</v>
      </c>
      <c r="G149" s="218"/>
      <c r="H149" s="216"/>
      <c r="I149" s="216"/>
      <c r="J149" s="216" t="s">
        <v>1758</v>
      </c>
      <c r="K149" s="213"/>
    </row>
    <row r="150" spans="1:11" ht="5.25" customHeight="1" x14ac:dyDescent="0.25">
      <c r="A150"/>
      <c r="B150" s="223"/>
      <c r="C150" s="219"/>
      <c r="D150" s="219"/>
      <c r="E150" s="219"/>
      <c r="F150" s="219"/>
      <c r="G150" s="220"/>
      <c r="H150" s="219"/>
      <c r="I150" s="219"/>
      <c r="J150" s="219"/>
      <c r="K150" s="242"/>
    </row>
    <row r="151" spans="1:11" ht="15" customHeight="1" x14ac:dyDescent="0.25">
      <c r="A151"/>
      <c r="B151" s="223"/>
      <c r="C151" s="7" t="s">
        <v>1762</v>
      </c>
      <c r="D151" s="202"/>
      <c r="E151" s="202"/>
      <c r="F151" s="246" t="s">
        <v>1759</v>
      </c>
      <c r="G151" s="202"/>
      <c r="H151" s="7" t="s">
        <v>1799</v>
      </c>
      <c r="I151" s="7" t="s">
        <v>1761</v>
      </c>
      <c r="J151" s="7">
        <v>120</v>
      </c>
      <c r="K151" s="242"/>
    </row>
    <row r="152" spans="1:11" ht="15" customHeight="1" x14ac:dyDescent="0.25">
      <c r="A152"/>
      <c r="B152" s="223"/>
      <c r="C152" s="7" t="s">
        <v>1808</v>
      </c>
      <c r="D152" s="202"/>
      <c r="E152" s="202"/>
      <c r="F152" s="246" t="s">
        <v>1759</v>
      </c>
      <c r="G152" s="202"/>
      <c r="H152" s="7" t="s">
        <v>1819</v>
      </c>
      <c r="I152" s="7" t="s">
        <v>1761</v>
      </c>
      <c r="J152" s="7" t="s">
        <v>1810</v>
      </c>
      <c r="K152" s="242"/>
    </row>
    <row r="153" spans="1:11" ht="15" customHeight="1" x14ac:dyDescent="0.25">
      <c r="A153"/>
      <c r="B153" s="223"/>
      <c r="C153" s="7" t="s">
        <v>1707</v>
      </c>
      <c r="D153" s="202"/>
      <c r="E153" s="202"/>
      <c r="F153" s="246" t="s">
        <v>1759</v>
      </c>
      <c r="G153" s="202"/>
      <c r="H153" s="7" t="s">
        <v>1820</v>
      </c>
      <c r="I153" s="7" t="s">
        <v>1761</v>
      </c>
      <c r="J153" s="7" t="s">
        <v>1810</v>
      </c>
      <c r="K153" s="242"/>
    </row>
    <row r="154" spans="1:11" ht="15" customHeight="1" x14ac:dyDescent="0.25">
      <c r="A154"/>
      <c r="B154" s="223"/>
      <c r="C154" s="7" t="s">
        <v>1764</v>
      </c>
      <c r="D154" s="202"/>
      <c r="E154" s="202"/>
      <c r="F154" s="246" t="s">
        <v>1765</v>
      </c>
      <c r="G154" s="202"/>
      <c r="H154" s="7" t="s">
        <v>1799</v>
      </c>
      <c r="I154" s="7" t="s">
        <v>1761</v>
      </c>
      <c r="J154" s="7">
        <v>50</v>
      </c>
      <c r="K154" s="242"/>
    </row>
    <row r="155" spans="1:11" ht="15" customHeight="1" x14ac:dyDescent="0.25">
      <c r="A155"/>
      <c r="B155" s="223"/>
      <c r="C155" s="7" t="s">
        <v>1767</v>
      </c>
      <c r="D155" s="202"/>
      <c r="E155" s="202"/>
      <c r="F155" s="246" t="s">
        <v>1759</v>
      </c>
      <c r="G155" s="202"/>
      <c r="H155" s="7" t="s">
        <v>1799</v>
      </c>
      <c r="I155" s="7" t="s">
        <v>1769</v>
      </c>
      <c r="J155" s="7"/>
      <c r="K155" s="242"/>
    </row>
    <row r="156" spans="1:11" ht="15" customHeight="1" x14ac:dyDescent="0.25">
      <c r="A156"/>
      <c r="B156" s="223"/>
      <c r="C156" s="7" t="s">
        <v>1778</v>
      </c>
      <c r="D156" s="202"/>
      <c r="E156" s="202"/>
      <c r="F156" s="246" t="s">
        <v>1765</v>
      </c>
      <c r="G156" s="202"/>
      <c r="H156" s="7" t="s">
        <v>1799</v>
      </c>
      <c r="I156" s="7" t="s">
        <v>1761</v>
      </c>
      <c r="J156" s="7">
        <v>50</v>
      </c>
      <c r="K156" s="242"/>
    </row>
    <row r="157" spans="1:11" ht="15" customHeight="1" x14ac:dyDescent="0.25">
      <c r="A157"/>
      <c r="B157" s="223"/>
      <c r="C157" s="7" t="s">
        <v>1786</v>
      </c>
      <c r="D157" s="202"/>
      <c r="E157" s="202"/>
      <c r="F157" s="246" t="s">
        <v>1765</v>
      </c>
      <c r="G157" s="202"/>
      <c r="H157" s="7" t="s">
        <v>1799</v>
      </c>
      <c r="I157" s="7" t="s">
        <v>1761</v>
      </c>
      <c r="J157" s="7">
        <v>50</v>
      </c>
      <c r="K157" s="242"/>
    </row>
    <row r="158" spans="1:11" ht="15" customHeight="1" x14ac:dyDescent="0.25">
      <c r="A158"/>
      <c r="B158" s="223"/>
      <c r="C158" s="7" t="s">
        <v>1784</v>
      </c>
      <c r="D158" s="202"/>
      <c r="E158" s="202"/>
      <c r="F158" s="246" t="s">
        <v>1765</v>
      </c>
      <c r="G158" s="202"/>
      <c r="H158" s="7" t="s">
        <v>1799</v>
      </c>
      <c r="I158" s="7" t="s">
        <v>1761</v>
      </c>
      <c r="J158" s="7">
        <v>50</v>
      </c>
      <c r="K158" s="242"/>
    </row>
    <row r="159" spans="1:11" ht="15" customHeight="1" x14ac:dyDescent="0.25">
      <c r="A159"/>
      <c r="B159" s="223"/>
      <c r="C159" s="7" t="s">
        <v>828</v>
      </c>
      <c r="D159" s="202"/>
      <c r="E159" s="202"/>
      <c r="F159" s="246" t="s">
        <v>1759</v>
      </c>
      <c r="G159" s="202"/>
      <c r="H159" s="7" t="s">
        <v>1821</v>
      </c>
      <c r="I159" s="7" t="s">
        <v>1761</v>
      </c>
      <c r="J159" s="7" t="s">
        <v>1822</v>
      </c>
      <c r="K159" s="242"/>
    </row>
    <row r="160" spans="1:11" ht="15" customHeight="1" x14ac:dyDescent="0.25">
      <c r="A160"/>
      <c r="B160" s="223"/>
      <c r="C160" s="7" t="s">
        <v>1823</v>
      </c>
      <c r="D160" s="202"/>
      <c r="E160" s="202"/>
      <c r="F160" s="246" t="s">
        <v>1759</v>
      </c>
      <c r="G160" s="202"/>
      <c r="H160" s="7" t="s">
        <v>1824</v>
      </c>
      <c r="I160" s="7" t="s">
        <v>1794</v>
      </c>
      <c r="J160" s="7"/>
      <c r="K160" s="242"/>
    </row>
    <row r="161" spans="1:11" ht="15" customHeight="1" x14ac:dyDescent="0.25">
      <c r="A161"/>
      <c r="B161" s="247"/>
      <c r="C161" s="229"/>
      <c r="D161" s="229"/>
      <c r="E161" s="229"/>
      <c r="F161" s="229"/>
      <c r="G161" s="229"/>
      <c r="H161" s="229"/>
      <c r="I161" s="229"/>
      <c r="J161" s="229"/>
      <c r="K161" s="248"/>
    </row>
    <row r="162" spans="1:11" ht="18.75" customHeight="1" x14ac:dyDescent="0.25">
      <c r="A162"/>
      <c r="B162" s="231"/>
      <c r="C162" s="220"/>
      <c r="D162" s="220"/>
      <c r="E162" s="220"/>
      <c r="F162" s="249"/>
      <c r="G162" s="220"/>
      <c r="H162" s="220"/>
      <c r="I162" s="220"/>
      <c r="J162" s="220"/>
      <c r="K162" s="231"/>
    </row>
    <row r="163" spans="1:11" ht="18.75" customHeight="1" x14ac:dyDescent="0.25">
      <c r="A163"/>
      <c r="B163" s="208"/>
      <c r="C163" s="208"/>
      <c r="D163" s="208"/>
      <c r="E163" s="208"/>
      <c r="F163" s="208"/>
      <c r="G163" s="208"/>
      <c r="H163" s="208"/>
      <c r="I163" s="208"/>
      <c r="J163" s="208"/>
      <c r="K163" s="208"/>
    </row>
    <row r="164" spans="1:11" ht="7.5" customHeight="1" x14ac:dyDescent="0.25">
      <c r="A164"/>
      <c r="B164" s="191"/>
      <c r="C164" s="192"/>
      <c r="D164" s="192"/>
      <c r="E164" s="192"/>
      <c r="F164" s="192"/>
      <c r="G164" s="192"/>
      <c r="H164" s="192"/>
      <c r="I164" s="192"/>
      <c r="J164" s="192"/>
      <c r="K164" s="193"/>
    </row>
    <row r="165" spans="1:11" ht="45" customHeight="1" x14ac:dyDescent="0.25">
      <c r="A165"/>
      <c r="B165" s="194"/>
      <c r="C165" s="1031" t="s">
        <v>1825</v>
      </c>
      <c r="D165" s="1031"/>
      <c r="E165" s="1031"/>
      <c r="F165" s="1031"/>
      <c r="G165" s="1031"/>
      <c r="H165" s="1031"/>
      <c r="I165" s="1031"/>
      <c r="J165" s="1031"/>
      <c r="K165" s="195"/>
    </row>
    <row r="166" spans="1:11" ht="17.25" customHeight="1" x14ac:dyDescent="0.25">
      <c r="A166"/>
      <c r="B166" s="194"/>
      <c r="C166" s="214" t="s">
        <v>1753</v>
      </c>
      <c r="D166" s="214"/>
      <c r="E166" s="214"/>
      <c r="F166" s="214" t="s">
        <v>1754</v>
      </c>
      <c r="G166" s="250"/>
      <c r="H166" s="251" t="s">
        <v>849</v>
      </c>
      <c r="I166" s="251" t="s">
        <v>847</v>
      </c>
      <c r="J166" s="214" t="s">
        <v>1755</v>
      </c>
      <c r="K166" s="195"/>
    </row>
    <row r="167" spans="1:11" ht="17.25" customHeight="1" x14ac:dyDescent="0.25">
      <c r="A167"/>
      <c r="B167" s="196"/>
      <c r="C167" s="216" t="s">
        <v>1756</v>
      </c>
      <c r="D167" s="216"/>
      <c r="E167" s="216"/>
      <c r="F167" s="217" t="s">
        <v>1757</v>
      </c>
      <c r="G167" s="252"/>
      <c r="H167" s="253"/>
      <c r="I167" s="253"/>
      <c r="J167" s="216" t="s">
        <v>1758</v>
      </c>
      <c r="K167" s="197"/>
    </row>
    <row r="168" spans="1:11" ht="5.25" customHeight="1" x14ac:dyDescent="0.25">
      <c r="A168"/>
      <c r="B168" s="223"/>
      <c r="C168" s="219"/>
      <c r="D168" s="219"/>
      <c r="E168" s="219"/>
      <c r="F168" s="219"/>
      <c r="G168" s="220"/>
      <c r="H168" s="219"/>
      <c r="I168" s="219"/>
      <c r="J168" s="219"/>
      <c r="K168" s="242"/>
    </row>
    <row r="169" spans="1:11" ht="15" customHeight="1" x14ac:dyDescent="0.25">
      <c r="A169"/>
      <c r="B169" s="223"/>
      <c r="C169" s="202" t="s">
        <v>1762</v>
      </c>
      <c r="D169" s="202"/>
      <c r="E169" s="202"/>
      <c r="F169" s="222" t="s">
        <v>1759</v>
      </c>
      <c r="G169" s="202"/>
      <c r="H169" s="202" t="s">
        <v>1799</v>
      </c>
      <c r="I169" s="202" t="s">
        <v>1761</v>
      </c>
      <c r="J169" s="202">
        <v>120</v>
      </c>
      <c r="K169" s="242"/>
    </row>
    <row r="170" spans="1:11" ht="15" customHeight="1" x14ac:dyDescent="0.25">
      <c r="A170"/>
      <c r="B170" s="223"/>
      <c r="C170" s="202" t="s">
        <v>1808</v>
      </c>
      <c r="D170" s="202"/>
      <c r="E170" s="202"/>
      <c r="F170" s="222" t="s">
        <v>1759</v>
      </c>
      <c r="G170" s="202"/>
      <c r="H170" s="202" t="s">
        <v>1809</v>
      </c>
      <c r="I170" s="202" t="s">
        <v>1761</v>
      </c>
      <c r="J170" s="202" t="s">
        <v>1810</v>
      </c>
      <c r="K170" s="242"/>
    </row>
    <row r="171" spans="1:11" ht="15" customHeight="1" x14ac:dyDescent="0.25">
      <c r="A171"/>
      <c r="B171" s="223"/>
      <c r="C171" s="202" t="s">
        <v>1707</v>
      </c>
      <c r="D171" s="202"/>
      <c r="E171" s="202"/>
      <c r="F171" s="222" t="s">
        <v>1759</v>
      </c>
      <c r="G171" s="202"/>
      <c r="H171" s="202" t="s">
        <v>1826</v>
      </c>
      <c r="I171" s="202" t="s">
        <v>1761</v>
      </c>
      <c r="J171" s="202" t="s">
        <v>1810</v>
      </c>
      <c r="K171" s="242"/>
    </row>
    <row r="172" spans="1:11" ht="15" customHeight="1" x14ac:dyDescent="0.25">
      <c r="A172"/>
      <c r="B172" s="223"/>
      <c r="C172" s="202" t="s">
        <v>1764</v>
      </c>
      <c r="D172" s="202"/>
      <c r="E172" s="202"/>
      <c r="F172" s="222" t="s">
        <v>1765</v>
      </c>
      <c r="G172" s="202"/>
      <c r="H172" s="202" t="s">
        <v>1826</v>
      </c>
      <c r="I172" s="202" t="s">
        <v>1761</v>
      </c>
      <c r="J172" s="202">
        <v>50</v>
      </c>
      <c r="K172" s="242"/>
    </row>
    <row r="173" spans="1:11" ht="15" customHeight="1" x14ac:dyDescent="0.25">
      <c r="A173"/>
      <c r="B173" s="223"/>
      <c r="C173" s="202" t="s">
        <v>1767</v>
      </c>
      <c r="D173" s="202"/>
      <c r="E173" s="202"/>
      <c r="F173" s="222" t="s">
        <v>1759</v>
      </c>
      <c r="G173" s="202"/>
      <c r="H173" s="202" t="s">
        <v>1826</v>
      </c>
      <c r="I173" s="202" t="s">
        <v>1769</v>
      </c>
      <c r="J173" s="202"/>
      <c r="K173" s="242"/>
    </row>
    <row r="174" spans="1:11" ht="15" customHeight="1" x14ac:dyDescent="0.25">
      <c r="A174"/>
      <c r="B174" s="223"/>
      <c r="C174" s="202" t="s">
        <v>1778</v>
      </c>
      <c r="D174" s="202"/>
      <c r="E174" s="202"/>
      <c r="F174" s="222" t="s">
        <v>1765</v>
      </c>
      <c r="G174" s="202"/>
      <c r="H174" s="202" t="s">
        <v>1826</v>
      </c>
      <c r="I174" s="202" t="s">
        <v>1761</v>
      </c>
      <c r="J174" s="202">
        <v>50</v>
      </c>
      <c r="K174" s="242"/>
    </row>
    <row r="175" spans="1:11" ht="15" customHeight="1" x14ac:dyDescent="0.25">
      <c r="A175"/>
      <c r="B175" s="223"/>
      <c r="C175" s="202" t="s">
        <v>1786</v>
      </c>
      <c r="D175" s="202"/>
      <c r="E175" s="202"/>
      <c r="F175" s="222" t="s">
        <v>1765</v>
      </c>
      <c r="G175" s="202"/>
      <c r="H175" s="202" t="s">
        <v>1826</v>
      </c>
      <c r="I175" s="202" t="s">
        <v>1761</v>
      </c>
      <c r="J175" s="202">
        <v>50</v>
      </c>
      <c r="K175" s="242"/>
    </row>
    <row r="176" spans="1:11" ht="15" customHeight="1" x14ac:dyDescent="0.25">
      <c r="A176"/>
      <c r="B176" s="223"/>
      <c r="C176" s="202" t="s">
        <v>1784</v>
      </c>
      <c r="D176" s="202"/>
      <c r="E176" s="202"/>
      <c r="F176" s="222" t="s">
        <v>1765</v>
      </c>
      <c r="G176" s="202"/>
      <c r="H176" s="202" t="s">
        <v>1826</v>
      </c>
      <c r="I176" s="202" t="s">
        <v>1761</v>
      </c>
      <c r="J176" s="202">
        <v>50</v>
      </c>
      <c r="K176" s="242"/>
    </row>
    <row r="177" spans="1:11" ht="15" customHeight="1" x14ac:dyDescent="0.25">
      <c r="A177"/>
      <c r="B177" s="223"/>
      <c r="C177" s="202" t="s">
        <v>846</v>
      </c>
      <c r="D177" s="202"/>
      <c r="E177" s="202"/>
      <c r="F177" s="222" t="s">
        <v>1759</v>
      </c>
      <c r="G177" s="202"/>
      <c r="H177" s="202" t="s">
        <v>1827</v>
      </c>
      <c r="I177" s="202" t="s">
        <v>1828</v>
      </c>
      <c r="J177" s="202"/>
      <c r="K177" s="242"/>
    </row>
    <row r="178" spans="1:11" ht="15" customHeight="1" x14ac:dyDescent="0.25">
      <c r="A178"/>
      <c r="B178" s="223"/>
      <c r="C178" s="202" t="s">
        <v>847</v>
      </c>
      <c r="D178" s="202"/>
      <c r="E178" s="202"/>
      <c r="F178" s="222" t="s">
        <v>1759</v>
      </c>
      <c r="G178" s="202"/>
      <c r="H178" s="202" t="s">
        <v>1829</v>
      </c>
      <c r="I178" s="202" t="s">
        <v>1830</v>
      </c>
      <c r="J178" s="202">
        <v>1</v>
      </c>
      <c r="K178" s="242"/>
    </row>
    <row r="179" spans="1:11" ht="15" customHeight="1" x14ac:dyDescent="0.25">
      <c r="A179"/>
      <c r="B179" s="223"/>
      <c r="C179" s="202" t="s">
        <v>848</v>
      </c>
      <c r="D179" s="202"/>
      <c r="E179" s="202"/>
      <c r="F179" s="222" t="s">
        <v>1759</v>
      </c>
      <c r="G179" s="202"/>
      <c r="H179" s="202" t="s">
        <v>1831</v>
      </c>
      <c r="I179" s="202" t="s">
        <v>1761</v>
      </c>
      <c r="J179" s="202">
        <v>20</v>
      </c>
      <c r="K179" s="242"/>
    </row>
    <row r="180" spans="1:11" ht="15" customHeight="1" x14ac:dyDescent="0.25">
      <c r="A180"/>
      <c r="B180" s="223"/>
      <c r="C180" s="202" t="s">
        <v>849</v>
      </c>
      <c r="D180" s="202"/>
      <c r="E180" s="202"/>
      <c r="F180" s="222" t="s">
        <v>1759</v>
      </c>
      <c r="G180" s="202"/>
      <c r="H180" s="202" t="s">
        <v>1832</v>
      </c>
      <c r="I180" s="202" t="s">
        <v>1761</v>
      </c>
      <c r="J180" s="202">
        <v>255</v>
      </c>
      <c r="K180" s="242"/>
    </row>
    <row r="181" spans="1:11" ht="15" customHeight="1" x14ac:dyDescent="0.25">
      <c r="A181"/>
      <c r="B181" s="223"/>
      <c r="C181" s="202" t="s">
        <v>850</v>
      </c>
      <c r="D181" s="202"/>
      <c r="E181" s="202"/>
      <c r="F181" s="222" t="s">
        <v>1759</v>
      </c>
      <c r="G181" s="202"/>
      <c r="H181" s="202" t="s">
        <v>1723</v>
      </c>
      <c r="I181" s="202" t="s">
        <v>1761</v>
      </c>
      <c r="J181" s="202">
        <v>10</v>
      </c>
      <c r="K181" s="242"/>
    </row>
    <row r="182" spans="1:11" ht="15" customHeight="1" x14ac:dyDescent="0.25">
      <c r="A182"/>
      <c r="B182" s="223"/>
      <c r="C182" s="202" t="s">
        <v>851</v>
      </c>
      <c r="D182" s="202"/>
      <c r="E182" s="202"/>
      <c r="F182" s="222" t="s">
        <v>1759</v>
      </c>
      <c r="G182" s="202"/>
      <c r="H182" s="202" t="s">
        <v>1833</v>
      </c>
      <c r="I182" s="202" t="s">
        <v>1794</v>
      </c>
      <c r="J182" s="202"/>
      <c r="K182" s="242"/>
    </row>
    <row r="183" spans="1:11" ht="15" customHeight="1" x14ac:dyDescent="0.25">
      <c r="A183"/>
      <c r="B183" s="223"/>
      <c r="C183" s="202" t="s">
        <v>1834</v>
      </c>
      <c r="D183" s="202"/>
      <c r="E183" s="202"/>
      <c r="F183" s="222" t="s">
        <v>1759</v>
      </c>
      <c r="G183" s="202"/>
      <c r="H183" s="202" t="s">
        <v>1835</v>
      </c>
      <c r="I183" s="202" t="s">
        <v>1794</v>
      </c>
      <c r="J183" s="202"/>
      <c r="K183" s="242"/>
    </row>
    <row r="184" spans="1:11" ht="15" customHeight="1" x14ac:dyDescent="0.25">
      <c r="A184"/>
      <c r="B184" s="223"/>
      <c r="C184" s="202" t="s">
        <v>1823</v>
      </c>
      <c r="D184" s="202"/>
      <c r="E184" s="202"/>
      <c r="F184" s="222" t="s">
        <v>1759</v>
      </c>
      <c r="G184" s="202"/>
      <c r="H184" s="202" t="s">
        <v>1836</v>
      </c>
      <c r="I184" s="202" t="s">
        <v>1794</v>
      </c>
      <c r="J184" s="202"/>
      <c r="K184" s="242"/>
    </row>
    <row r="185" spans="1:11" ht="15" customHeight="1" x14ac:dyDescent="0.25">
      <c r="A185"/>
      <c r="B185" s="223"/>
      <c r="C185" s="202" t="s">
        <v>853</v>
      </c>
      <c r="D185" s="202"/>
      <c r="E185" s="202"/>
      <c r="F185" s="222" t="s">
        <v>1765</v>
      </c>
      <c r="G185" s="202"/>
      <c r="H185" s="202" t="s">
        <v>1837</v>
      </c>
      <c r="I185" s="202" t="s">
        <v>1761</v>
      </c>
      <c r="J185" s="202">
        <v>50</v>
      </c>
      <c r="K185" s="242"/>
    </row>
    <row r="186" spans="1:11" ht="15" customHeight="1" x14ac:dyDescent="0.25">
      <c r="A186"/>
      <c r="B186" s="223"/>
      <c r="C186" s="202" t="s">
        <v>1838</v>
      </c>
      <c r="D186" s="202"/>
      <c r="E186" s="202"/>
      <c r="F186" s="222" t="s">
        <v>1765</v>
      </c>
      <c r="G186" s="202"/>
      <c r="H186" s="202" t="s">
        <v>1839</v>
      </c>
      <c r="I186" s="202" t="s">
        <v>1840</v>
      </c>
      <c r="J186" s="202"/>
      <c r="K186" s="242"/>
    </row>
    <row r="187" spans="1:11" ht="15" customHeight="1" x14ac:dyDescent="0.25">
      <c r="A187"/>
      <c r="B187" s="223"/>
      <c r="C187" s="202" t="s">
        <v>1841</v>
      </c>
      <c r="D187" s="202"/>
      <c r="E187" s="202"/>
      <c r="F187" s="222" t="s">
        <v>1765</v>
      </c>
      <c r="G187" s="202"/>
      <c r="H187" s="202" t="s">
        <v>1842</v>
      </c>
      <c r="I187" s="202" t="s">
        <v>1840</v>
      </c>
      <c r="J187" s="202"/>
      <c r="K187" s="242"/>
    </row>
    <row r="188" spans="1:11" ht="15" customHeight="1" x14ac:dyDescent="0.25">
      <c r="A188"/>
      <c r="B188" s="223"/>
      <c r="C188" s="202" t="s">
        <v>1843</v>
      </c>
      <c r="D188" s="202"/>
      <c r="E188" s="202"/>
      <c r="F188" s="222" t="s">
        <v>1765</v>
      </c>
      <c r="G188" s="202"/>
      <c r="H188" s="202" t="s">
        <v>1844</v>
      </c>
      <c r="I188" s="202" t="s">
        <v>1840</v>
      </c>
      <c r="J188" s="202"/>
      <c r="K188" s="242"/>
    </row>
    <row r="189" spans="1:11" ht="15" customHeight="1" x14ac:dyDescent="0.25">
      <c r="A189"/>
      <c r="B189" s="223"/>
      <c r="C189" s="254" t="s">
        <v>1845</v>
      </c>
      <c r="D189" s="202"/>
      <c r="E189" s="202"/>
      <c r="F189" s="222" t="s">
        <v>1765</v>
      </c>
      <c r="G189" s="202"/>
      <c r="H189" s="202" t="s">
        <v>1846</v>
      </c>
      <c r="I189" s="202" t="s">
        <v>1847</v>
      </c>
      <c r="J189" s="255" t="s">
        <v>1848</v>
      </c>
      <c r="K189" s="242"/>
    </row>
    <row r="190" spans="1:11" ht="15" customHeight="1" x14ac:dyDescent="0.25">
      <c r="A190"/>
      <c r="B190" s="223"/>
      <c r="C190" s="254" t="s">
        <v>812</v>
      </c>
      <c r="D190" s="202"/>
      <c r="E190" s="202"/>
      <c r="F190" s="222" t="s">
        <v>1759</v>
      </c>
      <c r="G190" s="202"/>
      <c r="H190" s="199" t="s">
        <v>1849</v>
      </c>
      <c r="I190" s="202" t="s">
        <v>1850</v>
      </c>
      <c r="J190" s="202"/>
      <c r="K190" s="242"/>
    </row>
    <row r="191" spans="1:11" ht="15" customHeight="1" x14ac:dyDescent="0.25">
      <c r="A191"/>
      <c r="B191" s="223"/>
      <c r="C191" s="254" t="s">
        <v>1851</v>
      </c>
      <c r="D191" s="202"/>
      <c r="E191" s="202"/>
      <c r="F191" s="222" t="s">
        <v>1759</v>
      </c>
      <c r="G191" s="202"/>
      <c r="H191" s="202" t="s">
        <v>1852</v>
      </c>
      <c r="I191" s="202" t="s">
        <v>1794</v>
      </c>
      <c r="J191" s="202"/>
      <c r="K191" s="242"/>
    </row>
    <row r="192" spans="1:11" ht="15" customHeight="1" x14ac:dyDescent="0.25">
      <c r="A192"/>
      <c r="B192" s="223"/>
      <c r="C192" s="254" t="s">
        <v>1853</v>
      </c>
      <c r="D192" s="202"/>
      <c r="E192" s="202"/>
      <c r="F192" s="222" t="s">
        <v>1759</v>
      </c>
      <c r="G192" s="202"/>
      <c r="H192" s="202" t="s">
        <v>1854</v>
      </c>
      <c r="I192" s="202" t="s">
        <v>1794</v>
      </c>
      <c r="J192" s="202"/>
      <c r="K192" s="242"/>
    </row>
    <row r="193" spans="1:11" ht="15" customHeight="1" x14ac:dyDescent="0.25">
      <c r="A193"/>
      <c r="B193" s="223"/>
      <c r="C193" s="254" t="s">
        <v>1855</v>
      </c>
      <c r="D193" s="202"/>
      <c r="E193" s="202"/>
      <c r="F193" s="222" t="s">
        <v>1765</v>
      </c>
      <c r="G193" s="202"/>
      <c r="H193" s="202" t="s">
        <v>1856</v>
      </c>
      <c r="I193" s="202" t="s">
        <v>1794</v>
      </c>
      <c r="J193" s="202"/>
      <c r="K193" s="242"/>
    </row>
    <row r="194" spans="1:11" ht="15" customHeight="1" x14ac:dyDescent="0.25">
      <c r="A194"/>
      <c r="B194" s="247"/>
      <c r="C194" s="256"/>
      <c r="D194" s="229"/>
      <c r="E194" s="229"/>
      <c r="F194" s="229"/>
      <c r="G194" s="229"/>
      <c r="H194" s="229"/>
      <c r="I194" s="229"/>
      <c r="J194" s="229"/>
      <c r="K194" s="248"/>
    </row>
    <row r="195" spans="1:11" ht="18.75" customHeight="1" x14ac:dyDescent="0.25">
      <c r="A195"/>
      <c r="B195" s="231"/>
      <c r="C195" s="220"/>
      <c r="D195" s="220"/>
      <c r="E195" s="220"/>
      <c r="F195" s="249"/>
      <c r="G195" s="220"/>
      <c r="H195" s="220"/>
      <c r="I195" s="220"/>
      <c r="J195" s="220"/>
      <c r="K195" s="231"/>
    </row>
    <row r="196" spans="1:11" ht="18.75" customHeight="1" x14ac:dyDescent="0.25">
      <c r="A196"/>
      <c r="B196" s="231"/>
      <c r="C196" s="220"/>
      <c r="D196" s="220"/>
      <c r="E196" s="220"/>
      <c r="F196" s="249"/>
      <c r="G196" s="220"/>
      <c r="H196" s="220"/>
      <c r="I196" s="220"/>
      <c r="J196" s="220"/>
      <c r="K196" s="231"/>
    </row>
    <row r="197" spans="1:11" ht="18.75" customHeight="1" x14ac:dyDescent="0.25">
      <c r="A197"/>
      <c r="B197" s="208"/>
      <c r="C197" s="208"/>
      <c r="D197" s="208"/>
      <c r="E197" s="208"/>
      <c r="F197" s="208"/>
      <c r="G197" s="208"/>
      <c r="H197" s="208"/>
      <c r="I197" s="208"/>
      <c r="J197" s="208"/>
      <c r="K197" s="208"/>
    </row>
    <row r="198" spans="1:11" x14ac:dyDescent="0.25">
      <c r="A198"/>
      <c r="B198" s="191"/>
      <c r="C198" s="192"/>
      <c r="D198" s="192"/>
      <c r="E198" s="192"/>
      <c r="F198" s="192"/>
      <c r="G198" s="192"/>
      <c r="H198" s="192"/>
      <c r="I198" s="192"/>
      <c r="J198" s="192"/>
      <c r="K198" s="193"/>
    </row>
    <row r="199" spans="1:11" ht="22.2" x14ac:dyDescent="0.25">
      <c r="A199"/>
      <c r="B199" s="194"/>
      <c r="C199" s="1031" t="s">
        <v>1857</v>
      </c>
      <c r="D199" s="1031"/>
      <c r="E199" s="1031"/>
      <c r="F199" s="1031"/>
      <c r="G199" s="1031"/>
      <c r="H199" s="1031"/>
      <c r="I199" s="1031"/>
      <c r="J199" s="1031"/>
      <c r="K199" s="195"/>
    </row>
    <row r="200" spans="1:11" ht="25.5" customHeight="1" x14ac:dyDescent="0.3">
      <c r="A200"/>
      <c r="B200" s="194"/>
      <c r="C200" s="257" t="s">
        <v>1858</v>
      </c>
      <c r="D200" s="257"/>
      <c r="E200" s="257"/>
      <c r="F200" s="257" t="s">
        <v>1859</v>
      </c>
      <c r="G200" s="258"/>
      <c r="H200" s="1032" t="s">
        <v>1860</v>
      </c>
      <c r="I200" s="1032"/>
      <c r="J200" s="1032"/>
      <c r="K200" s="195"/>
    </row>
    <row r="201" spans="1:11" ht="5.25" customHeight="1" x14ac:dyDescent="0.25">
      <c r="A201"/>
      <c r="B201" s="223"/>
      <c r="C201" s="219"/>
      <c r="D201" s="219"/>
      <c r="E201" s="219"/>
      <c r="F201" s="219"/>
      <c r="G201" s="220"/>
      <c r="H201" s="219"/>
      <c r="I201" s="219"/>
      <c r="J201" s="219"/>
      <c r="K201" s="242"/>
    </row>
    <row r="202" spans="1:11" ht="15" customHeight="1" x14ac:dyDescent="0.25">
      <c r="A202"/>
      <c r="B202" s="223"/>
      <c r="C202" s="202" t="s">
        <v>1850</v>
      </c>
      <c r="D202" s="202"/>
      <c r="E202" s="202"/>
      <c r="F202" s="222" t="s">
        <v>813</v>
      </c>
      <c r="G202" s="202"/>
      <c r="H202" s="1033" t="s">
        <v>1861</v>
      </c>
      <c r="I202" s="1033"/>
      <c r="J202" s="1033"/>
      <c r="K202" s="242"/>
    </row>
    <row r="203" spans="1:11" ht="15" customHeight="1" x14ac:dyDescent="0.25">
      <c r="A203"/>
      <c r="B203" s="223"/>
      <c r="C203" s="202"/>
      <c r="D203" s="202"/>
      <c r="E203" s="202"/>
      <c r="F203" s="222" t="s">
        <v>817</v>
      </c>
      <c r="G203" s="202"/>
      <c r="H203" s="1033" t="s">
        <v>1862</v>
      </c>
      <c r="I203" s="1033"/>
      <c r="J203" s="1033"/>
      <c r="K203" s="242"/>
    </row>
    <row r="204" spans="1:11" ht="15" customHeight="1" x14ac:dyDescent="0.25">
      <c r="A204"/>
      <c r="B204" s="223"/>
      <c r="C204" s="202"/>
      <c r="D204" s="202"/>
      <c r="E204" s="202"/>
      <c r="F204" s="222" t="s">
        <v>823</v>
      </c>
      <c r="G204" s="202"/>
      <c r="H204" s="1033" t="s">
        <v>1863</v>
      </c>
      <c r="I204" s="1033"/>
      <c r="J204" s="1033"/>
      <c r="K204" s="242"/>
    </row>
    <row r="205" spans="1:11" ht="15" customHeight="1" x14ac:dyDescent="0.25">
      <c r="A205"/>
      <c r="B205" s="223"/>
      <c r="C205" s="202"/>
      <c r="D205" s="202"/>
      <c r="E205" s="202"/>
      <c r="F205" s="222" t="s">
        <v>821</v>
      </c>
      <c r="G205" s="202"/>
      <c r="H205" s="1033" t="s">
        <v>1864</v>
      </c>
      <c r="I205" s="1033"/>
      <c r="J205" s="1033"/>
      <c r="K205" s="242"/>
    </row>
    <row r="206" spans="1:11" ht="15" customHeight="1" x14ac:dyDescent="0.25">
      <c r="A206"/>
      <c r="B206" s="223"/>
      <c r="C206" s="202"/>
      <c r="D206" s="202"/>
      <c r="E206" s="202"/>
      <c r="F206" s="222" t="s">
        <v>822</v>
      </c>
      <c r="G206" s="202"/>
      <c r="H206" s="1033" t="s">
        <v>1865</v>
      </c>
      <c r="I206" s="1033"/>
      <c r="J206" s="1033"/>
      <c r="K206" s="242"/>
    </row>
    <row r="207" spans="1:11" ht="15" customHeight="1" x14ac:dyDescent="0.25">
      <c r="A207"/>
      <c r="B207" s="223"/>
      <c r="C207" s="202"/>
      <c r="D207" s="202"/>
      <c r="E207" s="202"/>
      <c r="F207" s="222"/>
      <c r="G207" s="202"/>
      <c r="H207" s="202"/>
      <c r="I207" s="202"/>
      <c r="J207" s="202"/>
      <c r="K207" s="242"/>
    </row>
    <row r="208" spans="1:11" ht="15" customHeight="1" x14ac:dyDescent="0.25">
      <c r="A208"/>
      <c r="B208" s="223"/>
      <c r="C208" s="202" t="s">
        <v>1806</v>
      </c>
      <c r="D208" s="202"/>
      <c r="E208" s="202"/>
      <c r="F208" s="222" t="s">
        <v>1697</v>
      </c>
      <c r="G208" s="202"/>
      <c r="H208" s="1033" t="s">
        <v>1866</v>
      </c>
      <c r="I208" s="1033"/>
      <c r="J208" s="1033"/>
      <c r="K208" s="242"/>
    </row>
    <row r="209" spans="1:11" ht="15" customHeight="1" x14ac:dyDescent="0.25">
      <c r="A209"/>
      <c r="B209" s="223"/>
      <c r="C209" s="202"/>
      <c r="D209" s="202"/>
      <c r="E209" s="202"/>
      <c r="F209" s="222" t="s">
        <v>1701</v>
      </c>
      <c r="G209" s="202"/>
      <c r="H209" s="1033" t="s">
        <v>1702</v>
      </c>
      <c r="I209" s="1033"/>
      <c r="J209" s="1033"/>
      <c r="K209" s="242"/>
    </row>
    <row r="210" spans="1:11" ht="15" customHeight="1" x14ac:dyDescent="0.25">
      <c r="A210"/>
      <c r="B210" s="223"/>
      <c r="C210" s="202"/>
      <c r="D210" s="202"/>
      <c r="E210" s="202"/>
      <c r="F210" s="222" t="s">
        <v>1699</v>
      </c>
      <c r="G210" s="202"/>
      <c r="H210" s="1033" t="s">
        <v>1867</v>
      </c>
      <c r="I210" s="1033"/>
      <c r="J210" s="1033"/>
      <c r="K210" s="242"/>
    </row>
    <row r="211" spans="1:11" ht="15" customHeight="1" x14ac:dyDescent="0.25">
      <c r="A211"/>
      <c r="B211" s="259"/>
      <c r="C211" s="202"/>
      <c r="D211" s="202"/>
      <c r="E211" s="202"/>
      <c r="F211" s="222" t="s">
        <v>1703</v>
      </c>
      <c r="G211" s="254"/>
      <c r="H211" s="1030" t="s">
        <v>1704</v>
      </c>
      <c r="I211" s="1030"/>
      <c r="J211" s="1030"/>
      <c r="K211" s="260"/>
    </row>
    <row r="212" spans="1:11" ht="15" customHeight="1" x14ac:dyDescent="0.25">
      <c r="A212"/>
      <c r="B212" s="259"/>
      <c r="C212" s="202"/>
      <c r="D212" s="202"/>
      <c r="E212" s="202"/>
      <c r="F212" s="222" t="s">
        <v>1705</v>
      </c>
      <c r="G212" s="254"/>
      <c r="H212" s="1030" t="s">
        <v>1868</v>
      </c>
      <c r="I212" s="1030"/>
      <c r="J212" s="1030"/>
      <c r="K212" s="260"/>
    </row>
    <row r="213" spans="1:11" ht="15" customHeight="1" x14ac:dyDescent="0.25">
      <c r="A213"/>
      <c r="B213" s="259"/>
      <c r="C213" s="202"/>
      <c r="D213" s="202"/>
      <c r="E213" s="202"/>
      <c r="F213" s="222"/>
      <c r="G213" s="254"/>
      <c r="H213" s="7"/>
      <c r="I213" s="7"/>
      <c r="J213" s="7"/>
      <c r="K213" s="260"/>
    </row>
    <row r="214" spans="1:11" ht="15" customHeight="1" x14ac:dyDescent="0.25">
      <c r="A214"/>
      <c r="B214" s="259"/>
      <c r="C214" s="202" t="s">
        <v>1830</v>
      </c>
      <c r="D214" s="202"/>
      <c r="E214" s="202"/>
      <c r="F214" s="222">
        <v>1</v>
      </c>
      <c r="G214" s="254"/>
      <c r="H214" s="1030" t="s">
        <v>1869</v>
      </c>
      <c r="I214" s="1030"/>
      <c r="J214" s="1030"/>
      <c r="K214" s="260"/>
    </row>
    <row r="215" spans="1:11" ht="15" customHeight="1" x14ac:dyDescent="0.25">
      <c r="A215"/>
      <c r="B215" s="259"/>
      <c r="C215" s="202"/>
      <c r="D215" s="202"/>
      <c r="E215" s="202"/>
      <c r="F215" s="222">
        <v>2</v>
      </c>
      <c r="G215" s="254"/>
      <c r="H215" s="1030" t="s">
        <v>1870</v>
      </c>
      <c r="I215" s="1030"/>
      <c r="J215" s="1030"/>
      <c r="K215" s="260"/>
    </row>
    <row r="216" spans="1:11" ht="15" customHeight="1" x14ac:dyDescent="0.25">
      <c r="A216"/>
      <c r="B216" s="259"/>
      <c r="C216" s="202"/>
      <c r="D216" s="202"/>
      <c r="E216" s="202"/>
      <c r="F216" s="222">
        <v>3</v>
      </c>
      <c r="G216" s="254"/>
      <c r="H216" s="1030" t="s">
        <v>1871</v>
      </c>
      <c r="I216" s="1030"/>
      <c r="J216" s="1030"/>
      <c r="K216" s="260"/>
    </row>
    <row r="217" spans="1:11" ht="15" customHeight="1" x14ac:dyDescent="0.25">
      <c r="A217"/>
      <c r="B217" s="259"/>
      <c r="C217" s="202"/>
      <c r="D217" s="202"/>
      <c r="E217" s="202"/>
      <c r="F217" s="222">
        <v>4</v>
      </c>
      <c r="G217" s="254"/>
      <c r="H217" s="1030" t="s">
        <v>1872</v>
      </c>
      <c r="I217" s="1030"/>
      <c r="J217" s="1030"/>
      <c r="K217" s="260"/>
    </row>
    <row r="218" spans="1:11" ht="12.75" customHeight="1" x14ac:dyDescent="0.25">
      <c r="A218"/>
      <c r="B218" s="261"/>
      <c r="C218" s="262"/>
      <c r="D218" s="262"/>
      <c r="E218" s="262"/>
      <c r="F218" s="262"/>
      <c r="G218" s="262"/>
      <c r="H218" s="262"/>
      <c r="I218" s="262"/>
      <c r="J218" s="262"/>
      <c r="K218" s="263"/>
    </row>
  </sheetData>
  <mergeCells count="77">
    <mergeCell ref="C3:J3"/>
    <mergeCell ref="C4:J4"/>
    <mergeCell ref="C6:J6"/>
    <mergeCell ref="C7:J7"/>
    <mergeCell ref="C9:J9"/>
    <mergeCell ref="D10:J10"/>
    <mergeCell ref="D11:J11"/>
    <mergeCell ref="D15:J15"/>
    <mergeCell ref="D16:J16"/>
    <mergeCell ref="D17:J17"/>
    <mergeCell ref="F18:J18"/>
    <mergeCell ref="F19:J19"/>
    <mergeCell ref="F20:J20"/>
    <mergeCell ref="F21:J21"/>
    <mergeCell ref="F22:J22"/>
    <mergeCell ref="F23:J23"/>
    <mergeCell ref="C25:J25"/>
    <mergeCell ref="C26:J26"/>
    <mergeCell ref="D27:J27"/>
    <mergeCell ref="D28:J28"/>
    <mergeCell ref="D30:J30"/>
    <mergeCell ref="D31:J31"/>
    <mergeCell ref="D33:J33"/>
    <mergeCell ref="D34:J34"/>
    <mergeCell ref="D35:J35"/>
    <mergeCell ref="G36:J36"/>
    <mergeCell ref="G37:J37"/>
    <mergeCell ref="G38:J38"/>
    <mergeCell ref="G39:J39"/>
    <mergeCell ref="G40:J40"/>
    <mergeCell ref="G41:J41"/>
    <mergeCell ref="G42:J42"/>
    <mergeCell ref="G43:J43"/>
    <mergeCell ref="G44:J44"/>
    <mergeCell ref="G45:J45"/>
    <mergeCell ref="D47:J47"/>
    <mergeCell ref="E48:J48"/>
    <mergeCell ref="E49:J49"/>
    <mergeCell ref="E50:J50"/>
    <mergeCell ref="D51:J51"/>
    <mergeCell ref="C52:J52"/>
    <mergeCell ref="C54:J54"/>
    <mergeCell ref="C55:J55"/>
    <mergeCell ref="C57:J57"/>
    <mergeCell ref="D58:J58"/>
    <mergeCell ref="D59:J59"/>
    <mergeCell ref="D60:J60"/>
    <mergeCell ref="D61:J61"/>
    <mergeCell ref="D62:J62"/>
    <mergeCell ref="D63:J63"/>
    <mergeCell ref="D65:J65"/>
    <mergeCell ref="D66:J66"/>
    <mergeCell ref="D67:J67"/>
    <mergeCell ref="D68:J68"/>
    <mergeCell ref="D69:J69"/>
    <mergeCell ref="D70:J70"/>
    <mergeCell ref="C75:J75"/>
    <mergeCell ref="C102:J102"/>
    <mergeCell ref="C122:J122"/>
    <mergeCell ref="C147:J147"/>
    <mergeCell ref="H211:J211"/>
    <mergeCell ref="C165:J165"/>
    <mergeCell ref="C199:J199"/>
    <mergeCell ref="H200:J200"/>
    <mergeCell ref="H202:J202"/>
    <mergeCell ref="H203:J203"/>
    <mergeCell ref="H204:J204"/>
    <mergeCell ref="H205:J205"/>
    <mergeCell ref="H206:J206"/>
    <mergeCell ref="H208:J208"/>
    <mergeCell ref="H209:J209"/>
    <mergeCell ref="H210:J210"/>
    <mergeCell ref="H212:J212"/>
    <mergeCell ref="H214:J214"/>
    <mergeCell ref="H215:J215"/>
    <mergeCell ref="H216:J216"/>
    <mergeCell ref="H217:J217"/>
  </mergeCells>
  <pageMargins left="0.31496062992125984" right="0.31496062992125984" top="0.59055118110236227" bottom="0.59055118110236227" header="0.31496062992125984" footer="0.31496062992125984"/>
  <pageSetup paperSize="9" scale="77" fitToHeight="100" orientation="portrait" r:id="rId1"/>
  <headerFooter>
    <oddFooter>Stránka &amp;P z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76"/>
  <sheetViews>
    <sheetView topLeftCell="A7" workbookViewId="0">
      <selection activeCell="A6" sqref="A6"/>
    </sheetView>
  </sheetViews>
  <sheetFormatPr defaultColWidth="9.109375" defaultRowHeight="12.6" x14ac:dyDescent="0.25"/>
  <cols>
    <col min="1" max="1" width="129.88671875" style="39" customWidth="1"/>
    <col min="2" max="2" width="9.109375" style="39"/>
    <col min="3" max="3" width="56.33203125" style="39" customWidth="1"/>
    <col min="4" max="16384" width="9.109375" style="39"/>
  </cols>
  <sheetData>
    <row r="1" spans="1:5" x14ac:dyDescent="0.25">
      <c r="A1" s="38" t="s">
        <v>528</v>
      </c>
    </row>
    <row r="2" spans="1:5" ht="13.2" x14ac:dyDescent="0.25">
      <c r="A2" s="40" t="s">
        <v>529</v>
      </c>
      <c r="B2" s="38"/>
      <c r="C2" s="38"/>
      <c r="D2" s="38"/>
      <c r="E2" s="38"/>
    </row>
    <row r="3" spans="1:5" x14ac:dyDescent="0.25">
      <c r="A3" s="38"/>
      <c r="B3" s="38"/>
      <c r="C3" s="38"/>
      <c r="D3" s="38"/>
      <c r="E3" s="38"/>
    </row>
    <row r="4" spans="1:5" x14ac:dyDescent="0.25">
      <c r="A4" s="41" t="s">
        <v>530</v>
      </c>
      <c r="B4" s="41"/>
      <c r="C4" s="41"/>
      <c r="D4" s="38"/>
      <c r="E4" s="38"/>
    </row>
    <row r="5" spans="1:5" x14ac:dyDescent="0.25">
      <c r="A5" s="41"/>
      <c r="B5" s="41"/>
      <c r="C5" s="41"/>
      <c r="D5" s="38"/>
      <c r="E5" s="38"/>
    </row>
    <row r="6" spans="1:5" x14ac:dyDescent="0.25">
      <c r="A6" s="41" t="s">
        <v>531</v>
      </c>
      <c r="B6" s="41"/>
      <c r="C6" s="41"/>
      <c r="D6" s="38"/>
      <c r="E6" s="38"/>
    </row>
    <row r="7" spans="1:5" x14ac:dyDescent="0.25">
      <c r="A7" s="41"/>
      <c r="B7" s="41"/>
      <c r="C7" s="41"/>
      <c r="D7" s="38"/>
      <c r="E7" s="38"/>
    </row>
    <row r="8" spans="1:5" ht="25.2" x14ac:dyDescent="0.25">
      <c r="A8" s="41" t="s">
        <v>532</v>
      </c>
      <c r="B8" s="41"/>
      <c r="C8" s="41"/>
      <c r="D8" s="38"/>
      <c r="E8" s="38"/>
    </row>
    <row r="9" spans="1:5" x14ac:dyDescent="0.25">
      <c r="A9" s="41"/>
      <c r="B9" s="41"/>
      <c r="C9" s="41"/>
      <c r="D9" s="38"/>
      <c r="E9" s="38"/>
    </row>
    <row r="10" spans="1:5" x14ac:dyDescent="0.25">
      <c r="A10" s="41" t="s">
        <v>533</v>
      </c>
      <c r="B10" s="41"/>
      <c r="C10" s="41"/>
      <c r="D10" s="38"/>
      <c r="E10" s="38"/>
    </row>
    <row r="11" spans="1:5" ht="13.2" x14ac:dyDescent="0.25">
      <c r="A11" s="42"/>
      <c r="B11" s="41"/>
      <c r="C11" s="41"/>
      <c r="D11" s="38"/>
      <c r="E11" s="38"/>
    </row>
    <row r="12" spans="1:5" ht="37.799999999999997" x14ac:dyDescent="0.25">
      <c r="A12" s="41" t="s">
        <v>534</v>
      </c>
      <c r="B12" s="41"/>
      <c r="C12" s="41"/>
      <c r="D12" s="38"/>
      <c r="E12" s="38"/>
    </row>
    <row r="13" spans="1:5" x14ac:dyDescent="0.25">
      <c r="A13" s="41"/>
      <c r="B13" s="41"/>
      <c r="C13" s="41"/>
      <c r="D13" s="38"/>
      <c r="E13" s="38"/>
    </row>
    <row r="14" spans="1:5" ht="25.2" x14ac:dyDescent="0.25">
      <c r="A14" s="41" t="s">
        <v>535</v>
      </c>
      <c r="B14" s="41"/>
      <c r="C14" s="41"/>
      <c r="D14" s="38"/>
      <c r="E14" s="38"/>
    </row>
    <row r="15" spans="1:5" x14ac:dyDescent="0.25">
      <c r="A15" s="41"/>
      <c r="B15" s="41"/>
      <c r="C15" s="41"/>
      <c r="D15" s="38"/>
      <c r="E15" s="38"/>
    </row>
    <row r="16" spans="1:5" ht="25.2" x14ac:dyDescent="0.25">
      <c r="A16" s="41" t="s">
        <v>536</v>
      </c>
      <c r="B16" s="41"/>
      <c r="C16" s="41"/>
      <c r="D16" s="38"/>
      <c r="E16" s="38"/>
    </row>
    <row r="17" spans="1:5" x14ac:dyDescent="0.25">
      <c r="A17" s="41"/>
      <c r="B17" s="41"/>
      <c r="C17" s="41"/>
      <c r="D17" s="38"/>
      <c r="E17" s="38"/>
    </row>
    <row r="18" spans="1:5" x14ac:dyDescent="0.25">
      <c r="A18" s="41" t="s">
        <v>537</v>
      </c>
      <c r="B18" s="41"/>
      <c r="C18" s="41"/>
      <c r="D18" s="38"/>
      <c r="E18" s="38"/>
    </row>
    <row r="19" spans="1:5" x14ac:dyDescent="0.25">
      <c r="A19" s="41"/>
      <c r="B19" s="41"/>
      <c r="C19" s="41"/>
      <c r="D19" s="38"/>
      <c r="E19" s="38"/>
    </row>
    <row r="20" spans="1:5" x14ac:dyDescent="0.25">
      <c r="A20" s="41" t="s">
        <v>538</v>
      </c>
      <c r="B20" s="41"/>
      <c r="C20" s="41"/>
      <c r="D20" s="38"/>
      <c r="E20" s="38"/>
    </row>
    <row r="21" spans="1:5" x14ac:dyDescent="0.25">
      <c r="A21" s="41"/>
      <c r="B21" s="41"/>
      <c r="C21" s="41"/>
      <c r="D21" s="38"/>
      <c r="E21" s="38"/>
    </row>
    <row r="22" spans="1:5" ht="25.2" x14ac:dyDescent="0.25">
      <c r="A22" s="41" t="s">
        <v>539</v>
      </c>
      <c r="B22" s="41"/>
      <c r="C22" s="41"/>
      <c r="D22" s="38"/>
      <c r="E22" s="38"/>
    </row>
    <row r="23" spans="1:5" x14ac:dyDescent="0.25">
      <c r="A23" s="41"/>
      <c r="B23" s="41"/>
      <c r="C23" s="41"/>
      <c r="D23" s="38"/>
      <c r="E23" s="38"/>
    </row>
    <row r="24" spans="1:5" x14ac:dyDescent="0.25">
      <c r="A24" s="41" t="s">
        <v>540</v>
      </c>
      <c r="B24" s="41"/>
      <c r="C24" s="41"/>
      <c r="D24" s="38"/>
      <c r="E24" s="38"/>
    </row>
    <row r="25" spans="1:5" x14ac:dyDescent="0.25">
      <c r="A25" s="41"/>
      <c r="B25" s="41"/>
      <c r="C25" s="41"/>
      <c r="D25" s="38"/>
      <c r="E25" s="38"/>
    </row>
    <row r="26" spans="1:5" x14ac:dyDescent="0.25">
      <c r="A26" s="41" t="s">
        <v>541</v>
      </c>
      <c r="B26" s="41"/>
      <c r="C26" s="41"/>
      <c r="D26" s="38"/>
      <c r="E26" s="38"/>
    </row>
    <row r="27" spans="1:5" x14ac:dyDescent="0.25">
      <c r="A27" s="41"/>
      <c r="B27" s="41"/>
      <c r="C27" s="41"/>
      <c r="D27" s="38"/>
      <c r="E27" s="38"/>
    </row>
    <row r="28" spans="1:5" x14ac:dyDescent="0.25">
      <c r="A28" s="41" t="s">
        <v>542</v>
      </c>
      <c r="B28" s="41"/>
      <c r="C28" s="41"/>
      <c r="D28" s="38"/>
      <c r="E28" s="38"/>
    </row>
    <row r="29" spans="1:5" x14ac:dyDescent="0.25">
      <c r="A29" s="41"/>
      <c r="B29" s="41"/>
      <c r="C29" s="41"/>
      <c r="D29" s="38"/>
      <c r="E29" s="38"/>
    </row>
    <row r="30" spans="1:5" x14ac:dyDescent="0.25">
      <c r="A30" s="41" t="s">
        <v>543</v>
      </c>
      <c r="B30" s="41"/>
      <c r="C30" s="41"/>
      <c r="D30" s="38"/>
      <c r="E30" s="38"/>
    </row>
    <row r="31" spans="1:5" x14ac:dyDescent="0.25">
      <c r="A31" s="41"/>
      <c r="B31" s="41"/>
      <c r="C31" s="41"/>
      <c r="D31" s="38"/>
      <c r="E31" s="38"/>
    </row>
    <row r="32" spans="1:5" x14ac:dyDescent="0.25">
      <c r="A32" s="41" t="s">
        <v>544</v>
      </c>
      <c r="B32" s="41"/>
      <c r="C32" s="41"/>
      <c r="D32" s="38"/>
      <c r="E32" s="38"/>
    </row>
    <row r="33" spans="1:5" x14ac:dyDescent="0.25">
      <c r="A33" s="41"/>
      <c r="B33" s="41"/>
      <c r="C33" s="41"/>
      <c r="D33" s="38"/>
      <c r="E33" s="38"/>
    </row>
    <row r="34" spans="1:5" x14ac:dyDescent="0.25">
      <c r="A34" s="41" t="s">
        <v>545</v>
      </c>
      <c r="B34" s="41"/>
      <c r="C34" s="41"/>
      <c r="D34" s="38"/>
      <c r="E34" s="38"/>
    </row>
    <row r="35" spans="1:5" x14ac:dyDescent="0.25">
      <c r="A35" s="41"/>
      <c r="B35" s="41"/>
      <c r="C35" s="41"/>
      <c r="D35" s="38"/>
      <c r="E35" s="38"/>
    </row>
    <row r="36" spans="1:5" ht="25.2" x14ac:dyDescent="0.25">
      <c r="A36" s="41" t="s">
        <v>546</v>
      </c>
      <c r="B36" s="41"/>
      <c r="C36" s="41"/>
      <c r="D36" s="38"/>
      <c r="E36" s="38"/>
    </row>
    <row r="37" spans="1:5" x14ac:dyDescent="0.25">
      <c r="A37" s="41"/>
      <c r="B37" s="41"/>
      <c r="C37" s="41"/>
      <c r="D37" s="38"/>
      <c r="E37" s="38"/>
    </row>
    <row r="38" spans="1:5" ht="92.4" x14ac:dyDescent="0.25">
      <c r="A38" s="43" t="s">
        <v>547</v>
      </c>
      <c r="B38" s="41"/>
      <c r="C38" s="41"/>
      <c r="D38" s="38"/>
      <c r="E38" s="38"/>
    </row>
    <row r="39" spans="1:5" ht="13.2" x14ac:dyDescent="0.25">
      <c r="A39" s="43"/>
      <c r="B39" s="41"/>
      <c r="C39" s="41"/>
      <c r="D39" s="38"/>
      <c r="E39" s="38"/>
    </row>
    <row r="40" spans="1:5" ht="66" x14ac:dyDescent="0.25">
      <c r="A40" s="43" t="s">
        <v>548</v>
      </c>
      <c r="B40" s="41"/>
      <c r="C40" s="41"/>
      <c r="D40" s="38"/>
      <c r="E40" s="38"/>
    </row>
    <row r="41" spans="1:5" s="41" customFormat="1" x14ac:dyDescent="0.25"/>
    <row r="42" spans="1:5" ht="39.6" x14ac:dyDescent="0.25">
      <c r="A42" s="43" t="s">
        <v>549</v>
      </c>
      <c r="B42" s="41"/>
      <c r="C42" s="41"/>
      <c r="D42" s="38"/>
      <c r="E42" s="38"/>
    </row>
    <row r="43" spans="1:5" ht="13.2" x14ac:dyDescent="0.25">
      <c r="A43" s="43"/>
      <c r="B43" s="41"/>
      <c r="C43" s="41"/>
      <c r="D43" s="38"/>
      <c r="E43" s="38"/>
    </row>
    <row r="44" spans="1:5" ht="66" x14ac:dyDescent="0.25">
      <c r="A44" s="43" t="s">
        <v>550</v>
      </c>
      <c r="B44" s="41"/>
      <c r="C44" s="41"/>
      <c r="D44" s="38"/>
      <c r="E44" s="38"/>
    </row>
    <row r="45" spans="1:5" ht="13.2" x14ac:dyDescent="0.25">
      <c r="A45" s="43"/>
      <c r="B45" s="41"/>
      <c r="C45" s="41"/>
      <c r="D45" s="38"/>
      <c r="E45" s="38"/>
    </row>
    <row r="46" spans="1:5" ht="26.4" x14ac:dyDescent="0.25">
      <c r="A46" s="44" t="s">
        <v>551</v>
      </c>
    </row>
    <row r="47" spans="1:5" ht="52.8" x14ac:dyDescent="0.25">
      <c r="A47" s="44" t="s">
        <v>552</v>
      </c>
    </row>
    <row r="48" spans="1:5" ht="13.2" x14ac:dyDescent="0.25">
      <c r="A48" s="44"/>
    </row>
    <row r="49" spans="1:1" ht="52.8" x14ac:dyDescent="0.25">
      <c r="A49" s="44" t="s">
        <v>553</v>
      </c>
    </row>
    <row r="50" spans="1:1" ht="13.2" x14ac:dyDescent="0.25">
      <c r="A50" s="44"/>
    </row>
    <row r="51" spans="1:1" ht="26.4" x14ac:dyDescent="0.25">
      <c r="A51" s="44" t="s">
        <v>554</v>
      </c>
    </row>
    <row r="53" spans="1:1" ht="26.4" x14ac:dyDescent="0.25">
      <c r="A53" s="44" t="s">
        <v>555</v>
      </c>
    </row>
    <row r="55" spans="1:1" ht="26.4" x14ac:dyDescent="0.25">
      <c r="A55" s="44" t="s">
        <v>556</v>
      </c>
    </row>
    <row r="57" spans="1:1" ht="13.2" x14ac:dyDescent="0.25">
      <c r="A57" s="20"/>
    </row>
    <row r="69" spans="1:12" x14ac:dyDescent="0.25">
      <c r="A69" s="45"/>
      <c r="B69" s="46"/>
      <c r="C69" s="45"/>
      <c r="D69" s="45"/>
      <c r="E69" s="45"/>
      <c r="F69" s="45"/>
      <c r="G69" s="45"/>
      <c r="H69" s="45"/>
      <c r="I69" s="45"/>
      <c r="J69" s="45"/>
      <c r="K69" s="45"/>
      <c r="L69" s="45"/>
    </row>
    <row r="70" spans="1:12" x14ac:dyDescent="0.25">
      <c r="A70" s="45"/>
      <c r="B70" s="46"/>
      <c r="C70" s="45"/>
      <c r="D70" s="45"/>
      <c r="E70" s="45"/>
      <c r="F70" s="45"/>
      <c r="G70" s="45"/>
      <c r="H70" s="45"/>
      <c r="I70" s="45"/>
      <c r="J70" s="45"/>
      <c r="K70" s="45"/>
      <c r="L70" s="45"/>
    </row>
    <row r="71" spans="1:12" x14ac:dyDescent="0.25">
      <c r="A71" s="45"/>
      <c r="B71" s="46"/>
      <c r="C71" s="45"/>
      <c r="D71" s="45"/>
      <c r="E71" s="45"/>
      <c r="F71" s="45"/>
      <c r="G71" s="45"/>
      <c r="H71" s="45"/>
      <c r="I71" s="45"/>
      <c r="J71" s="45"/>
      <c r="K71" s="45"/>
      <c r="L71" s="45"/>
    </row>
    <row r="72" spans="1:12" x14ac:dyDescent="0.25">
      <c r="A72" s="45"/>
      <c r="B72" s="46"/>
      <c r="C72" s="45"/>
      <c r="D72" s="45"/>
      <c r="E72" s="45"/>
      <c r="F72" s="45"/>
      <c r="G72" s="45"/>
      <c r="H72" s="45"/>
      <c r="I72" s="45"/>
      <c r="J72" s="45"/>
      <c r="K72" s="45"/>
      <c r="L72" s="45"/>
    </row>
    <row r="73" spans="1:12" x14ac:dyDescent="0.25">
      <c r="A73" s="45"/>
      <c r="B73" s="46"/>
      <c r="C73" s="45"/>
      <c r="D73" s="45"/>
      <c r="E73" s="45"/>
      <c r="F73" s="45"/>
      <c r="G73" s="45"/>
      <c r="H73" s="45"/>
      <c r="I73" s="45"/>
      <c r="J73" s="45"/>
      <c r="K73" s="45"/>
      <c r="L73" s="45"/>
    </row>
    <row r="74" spans="1:12" x14ac:dyDescent="0.25">
      <c r="A74" s="45"/>
      <c r="B74" s="46"/>
      <c r="C74" s="45"/>
      <c r="D74" s="45"/>
      <c r="E74" s="45"/>
      <c r="F74" s="45"/>
      <c r="G74" s="45"/>
      <c r="H74" s="45"/>
      <c r="I74" s="45"/>
      <c r="J74" s="45"/>
      <c r="K74" s="45"/>
      <c r="L74" s="45"/>
    </row>
    <row r="75" spans="1:12" x14ac:dyDescent="0.25">
      <c r="A75" s="45"/>
      <c r="B75" s="46"/>
      <c r="C75" s="45"/>
      <c r="D75" s="45"/>
      <c r="E75" s="45"/>
      <c r="F75" s="45"/>
      <c r="G75" s="45"/>
      <c r="H75" s="45"/>
      <c r="I75" s="45"/>
      <c r="J75" s="45"/>
      <c r="K75" s="45"/>
      <c r="L75" s="45"/>
    </row>
    <row r="76" spans="1:12" x14ac:dyDescent="0.25">
      <c r="A76" s="45"/>
      <c r="B76" s="46"/>
      <c r="C76" s="45"/>
      <c r="D76" s="45"/>
      <c r="E76" s="45"/>
      <c r="F76" s="45"/>
      <c r="G76" s="45"/>
      <c r="H76" s="45"/>
      <c r="I76" s="45"/>
      <c r="J76" s="45"/>
      <c r="K76" s="45"/>
      <c r="L76" s="45"/>
    </row>
  </sheetData>
  <pageMargins left="0.31496062992125984" right="0.31496062992125984" top="0.59055118110236227" bottom="0.59055118110236227" header="0.31496062992125984" footer="0.31496062992125984"/>
  <pageSetup paperSize="9" scale="76" fitToHeight="100" orientation="portrait" r:id="rId1"/>
  <headerFooter>
    <oddFooter xml:space="preserve">&amp;CStránka &amp;P z &amp;N - Všeobecné podmínky k Soupisu prací a dodávek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16</vt:i4>
      </vt:variant>
      <vt:variant>
        <vt:lpstr>Pojmenované oblasti</vt:lpstr>
      </vt:variant>
      <vt:variant>
        <vt:i4>13</vt:i4>
      </vt:variant>
    </vt:vector>
  </HeadingPairs>
  <TitlesOfParts>
    <vt:vector size="29" baseType="lpstr">
      <vt:lpstr>Rekapitulace</vt:lpstr>
      <vt:lpstr>SO 001 (HTU)</vt:lpstr>
      <vt:lpstr>SO 101</vt:lpstr>
      <vt:lpstr>SO101-seznam figur</vt:lpstr>
      <vt:lpstr>SO 301</vt:lpstr>
      <vt:lpstr>SO 302</vt:lpstr>
      <vt:lpstr>SO 401</vt:lpstr>
      <vt:lpstr>SO 402</vt:lpstr>
      <vt:lpstr>SO 403</vt:lpstr>
      <vt:lpstr>SO 701</vt:lpstr>
      <vt:lpstr>SO 702-technologie</vt:lpstr>
      <vt:lpstr>SO 702-elektroinstalace</vt:lpstr>
      <vt:lpstr>SO 703</vt:lpstr>
      <vt:lpstr>SO 801</vt:lpstr>
      <vt:lpstr>SO 101-pokyny pro vyplnění</vt:lpstr>
      <vt:lpstr>Příloha č. 1</vt:lpstr>
      <vt:lpstr>'SO 001 (HTU)'!Názvy_tisku</vt:lpstr>
      <vt:lpstr>'SO 101'!Názvy_tisku</vt:lpstr>
      <vt:lpstr>'SO 301'!Názvy_tisku</vt:lpstr>
      <vt:lpstr>'SO 302'!Názvy_tisku</vt:lpstr>
      <vt:lpstr>'SO 401'!Názvy_tisku</vt:lpstr>
      <vt:lpstr>'SO 402'!Názvy_tisku</vt:lpstr>
      <vt:lpstr>'SO 403'!Názvy_tisku</vt:lpstr>
      <vt:lpstr>'SO 701'!Názvy_tisku</vt:lpstr>
      <vt:lpstr>'SO 702-elektroinstalace'!Názvy_tisku</vt:lpstr>
      <vt:lpstr>'SO 702-technologie'!Názvy_tisku</vt:lpstr>
      <vt:lpstr>'SO 703'!Názvy_tisku</vt:lpstr>
      <vt:lpstr>'SO 801'!Názvy_tisku</vt:lpstr>
      <vt:lpstr>'SO101-seznam figur'!Názvy_tisku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Věra</dc:creator>
  <cp:lastModifiedBy>Petr Jakubicek</cp:lastModifiedBy>
  <cp:lastPrinted>2022-12-22T11:32:14Z</cp:lastPrinted>
  <dcterms:created xsi:type="dcterms:W3CDTF">2005-02-04T01:09:41Z</dcterms:created>
  <dcterms:modified xsi:type="dcterms:W3CDTF">2022-12-22T11:36:30Z</dcterms:modified>
</cp:coreProperties>
</file>