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mc:AlternateContent xmlns:mc="http://schemas.openxmlformats.org/markup-compatibility/2006">
    <mc:Choice Requires="x15">
      <x15ac:absPath xmlns:x15ac="http://schemas.microsoft.com/office/spreadsheetml/2010/11/ac" url="/Users/hanavalentova/Documents/49_Běchovice_NÁMĚSTÍ + KAPLE/01_ke zveřejnění/"/>
    </mc:Choice>
  </mc:AlternateContent>
  <xr:revisionPtr revIDLastSave="0" documentId="13_ncr:1_{1DF2C2DD-5B72-BB4C-AD73-C1A9C90995CD}" xr6:coauthVersionLast="47" xr6:coauthVersionMax="47" xr10:uidLastSave="{00000000-0000-0000-0000-000000000000}"/>
  <bookViews>
    <workbookView xWindow="0" yWindow="500" windowWidth="23260" windowHeight="12460" tabRatio="877" activeTab="3" xr2:uid="{00000000-000D-0000-FFFF-FFFF00000000}"/>
  </bookViews>
  <sheets>
    <sheet name="titulní list" sheetId="20" r:id="rId1"/>
    <sheet name="SSPDsVV" sheetId="1" r:id="rId2"/>
    <sheet name="List3" sheetId="3" state="hidden" r:id="rId3"/>
    <sheet name="Výpisy prvků" sheetId="12" r:id="rId4"/>
    <sheet name="ZTI" sheetId="9" r:id="rId5"/>
    <sheet name="EL-silno" sheetId="14" r:id="rId6"/>
    <sheet name="EL-osvětl" sheetId="10" r:id="rId7"/>
    <sheet name="VZT" sheetId="11" r:id="rId8"/>
    <sheet name="Příloha č. 1" sheetId="19" r:id="rId9"/>
  </sheets>
  <definedNames>
    <definedName name="_xlnm.Print_Titles" localSheetId="6">'EL-osvětl'!$19:$19</definedName>
    <definedName name="_xlnm.Print_Titles" localSheetId="5">'EL-silno'!$19:$19</definedName>
    <definedName name="_xlnm.Print_Titles" localSheetId="1">SSPDsVV!$42:$42</definedName>
    <definedName name="_xlnm.Print_Titles" localSheetId="3">'Výpisy prvků'!$26:$26</definedName>
    <definedName name="_xlnm.Print_Titles" localSheetId="7">VZT!$19:$19</definedName>
    <definedName name="_xlnm.Print_Titles" localSheetId="4">ZTI!$20:$20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3" i="12" l="1"/>
  <c r="H813" i="1"/>
  <c r="F118" i="1"/>
  <c r="F117" i="1"/>
  <c r="H117" i="1" s="1"/>
  <c r="F71" i="1"/>
  <c r="F72" i="1" s="1"/>
  <c r="F67" i="1"/>
  <c r="H67" i="1" s="1"/>
  <c r="F66" i="1"/>
  <c r="H66" i="1" s="1"/>
  <c r="F171" i="1"/>
  <c r="H171" i="1" s="1"/>
  <c r="F156" i="1"/>
  <c r="H156" i="1" s="1"/>
  <c r="I142" i="1"/>
  <c r="I134" i="1"/>
  <c r="F155" i="1"/>
  <c r="I155" i="1" s="1"/>
  <c r="I148" i="1"/>
  <c r="I140" i="1"/>
  <c r="I132" i="1"/>
  <c r="I126" i="1"/>
  <c r="H46" i="12"/>
  <c r="H48" i="12"/>
  <c r="H49" i="12"/>
  <c r="H50" i="12"/>
  <c r="H51" i="12"/>
  <c r="H52" i="12"/>
  <c r="H63" i="12"/>
  <c r="H64" i="12"/>
  <c r="H68" i="12"/>
  <c r="H69" i="12"/>
  <c r="H70" i="12"/>
  <c r="H71" i="12"/>
  <c r="H73" i="12"/>
  <c r="H74" i="12"/>
  <c r="H75" i="12"/>
  <c r="H76" i="12"/>
  <c r="H79" i="12"/>
  <c r="H80" i="12"/>
  <c r="H81" i="12"/>
  <c r="H82" i="12"/>
  <c r="H84" i="12"/>
  <c r="H85" i="12"/>
  <c r="H86" i="12"/>
  <c r="H88" i="12"/>
  <c r="H89" i="12"/>
  <c r="H90" i="12"/>
  <c r="H91" i="12"/>
  <c r="H93" i="12"/>
  <c r="H96" i="12"/>
  <c r="H97" i="12"/>
  <c r="H98" i="12"/>
  <c r="H99" i="12"/>
  <c r="H101" i="12"/>
  <c r="H103" i="12"/>
  <c r="H104" i="12"/>
  <c r="H105" i="12"/>
  <c r="H106" i="12"/>
  <c r="H107" i="12"/>
  <c r="H108" i="12"/>
  <c r="H114" i="12"/>
  <c r="H115" i="12"/>
  <c r="H116" i="12"/>
  <c r="H118" i="12"/>
  <c r="H119" i="12"/>
  <c r="H120" i="12"/>
  <c r="H121" i="12"/>
  <c r="H122" i="12"/>
  <c r="H123" i="12"/>
  <c r="H124" i="12"/>
  <c r="H125" i="12"/>
  <c r="H127" i="12"/>
  <c r="H128" i="12"/>
  <c r="H136" i="12"/>
  <c r="H137" i="12"/>
  <c r="H138" i="12"/>
  <c r="H140" i="12"/>
  <c r="H142" i="12"/>
  <c r="H144" i="12"/>
  <c r="H146" i="12"/>
  <c r="H148" i="12"/>
  <c r="H150" i="12"/>
  <c r="H152" i="12"/>
  <c r="H155" i="12"/>
  <c r="H157" i="12"/>
  <c r="H158" i="12"/>
  <c r="H159" i="12"/>
  <c r="H160" i="12"/>
  <c r="H161" i="12"/>
  <c r="H165" i="12"/>
  <c r="H166" i="12"/>
  <c r="H92" i="12"/>
  <c r="H117" i="12"/>
  <c r="H101" i="9"/>
  <c r="H116" i="9"/>
  <c r="H117" i="9"/>
  <c r="H121" i="9"/>
  <c r="H124" i="9"/>
  <c r="H144" i="9"/>
  <c r="G66" i="14"/>
  <c r="G73" i="14"/>
  <c r="G76" i="14"/>
  <c r="G38" i="10"/>
  <c r="G39" i="10"/>
  <c r="G40" i="10"/>
  <c r="G41" i="10"/>
  <c r="G42" i="10"/>
  <c r="G44" i="10"/>
  <c r="G45" i="10"/>
  <c r="G46" i="10"/>
  <c r="G47" i="10"/>
  <c r="G49" i="10"/>
  <c r="G50" i="10"/>
  <c r="G52" i="10"/>
  <c r="G54" i="10"/>
  <c r="G55" i="10"/>
  <c r="G56" i="10"/>
  <c r="G57" i="10"/>
  <c r="G58" i="10"/>
  <c r="G59" i="10"/>
  <c r="G60" i="10"/>
  <c r="G62" i="10"/>
  <c r="G64" i="10"/>
  <c r="G65" i="10"/>
  <c r="G69" i="10"/>
  <c r="G71" i="10"/>
  <c r="G72" i="10"/>
  <c r="G73" i="10"/>
  <c r="G38" i="11"/>
  <c r="G39" i="11"/>
  <c r="G44" i="11"/>
  <c r="G45" i="11"/>
  <c r="G46" i="11"/>
  <c r="G47" i="11"/>
  <c r="G48" i="11"/>
  <c r="G50" i="11"/>
  <c r="G51" i="11"/>
  <c r="G52" i="11"/>
  <c r="G53" i="11"/>
  <c r="G54" i="11"/>
  <c r="G55" i="11"/>
  <c r="G56" i="11"/>
  <c r="G59" i="11"/>
  <c r="G61" i="11"/>
  <c r="G62" i="11"/>
  <c r="G64" i="11"/>
  <c r="G65" i="11"/>
  <c r="G66" i="11"/>
  <c r="I813" i="1"/>
  <c r="H814" i="1"/>
  <c r="I814" i="1"/>
  <c r="F811" i="1"/>
  <c r="I811" i="1" s="1"/>
  <c r="H162" i="1"/>
  <c r="H820" i="1"/>
  <c r="G69" i="11"/>
  <c r="H170" i="12"/>
  <c r="H169" i="12"/>
  <c r="H168" i="12"/>
  <c r="H139" i="12"/>
  <c r="F129" i="12"/>
  <c r="F126" i="12"/>
  <c r="H111" i="12"/>
  <c r="H110" i="12"/>
  <c r="H109" i="12"/>
  <c r="H100" i="12"/>
  <c r="H87" i="12"/>
  <c r="H72" i="12"/>
  <c r="H65" i="12"/>
  <c r="H62" i="12"/>
  <c r="H61" i="12"/>
  <c r="H60" i="12"/>
  <c r="H59" i="12"/>
  <c r="H58" i="12"/>
  <c r="H57" i="12"/>
  <c r="H56" i="12"/>
  <c r="H55" i="12"/>
  <c r="H54" i="12"/>
  <c r="H53" i="12"/>
  <c r="H47" i="12"/>
  <c r="G118" i="14"/>
  <c r="G117" i="14"/>
  <c r="G116" i="14"/>
  <c r="G115" i="14"/>
  <c r="G114" i="14"/>
  <c r="G113" i="14"/>
  <c r="G112" i="14"/>
  <c r="G111" i="14"/>
  <c r="G110" i="14"/>
  <c r="G108" i="14"/>
  <c r="G107" i="14"/>
  <c r="G106" i="14"/>
  <c r="G105" i="14"/>
  <c r="G104" i="14"/>
  <c r="G103" i="14"/>
  <c r="G102" i="14"/>
  <c r="G101" i="14"/>
  <c r="G100" i="14"/>
  <c r="G99" i="14"/>
  <c r="G98" i="14"/>
  <c r="G97" i="14"/>
  <c r="G96" i="14"/>
  <c r="G95" i="14"/>
  <c r="G94" i="14"/>
  <c r="G79" i="14"/>
  <c r="G78" i="14"/>
  <c r="G77" i="14"/>
  <c r="G75" i="14"/>
  <c r="G74" i="14"/>
  <c r="G72" i="14"/>
  <c r="G71" i="14"/>
  <c r="G70" i="14"/>
  <c r="G69" i="14"/>
  <c r="G68" i="14"/>
  <c r="G67" i="14"/>
  <c r="G63" i="14"/>
  <c r="G62" i="14"/>
  <c r="G61" i="14"/>
  <c r="G60" i="14"/>
  <c r="G58" i="14"/>
  <c r="G57" i="14"/>
  <c r="G56" i="14"/>
  <c r="G55" i="14"/>
  <c r="G54" i="14"/>
  <c r="G53" i="14"/>
  <c r="G52" i="14"/>
  <c r="G51" i="14"/>
  <c r="G50" i="14"/>
  <c r="G49" i="14"/>
  <c r="G48" i="14"/>
  <c r="G47" i="14"/>
  <c r="G46" i="14"/>
  <c r="G45" i="14"/>
  <c r="G44" i="14"/>
  <c r="G43" i="14"/>
  <c r="G40" i="14"/>
  <c r="G39" i="14"/>
  <c r="G70" i="11"/>
  <c r="G68" i="11"/>
  <c r="G67" i="11"/>
  <c r="G63" i="11"/>
  <c r="G60" i="11"/>
  <c r="G58" i="11"/>
  <c r="G43" i="11"/>
  <c r="G42" i="11"/>
  <c r="G40" i="11"/>
  <c r="G75" i="10"/>
  <c r="G74" i="10"/>
  <c r="G70" i="10"/>
  <c r="G68" i="10"/>
  <c r="G67" i="10"/>
  <c r="G66" i="10"/>
  <c r="G63" i="10"/>
  <c r="G61" i="10"/>
  <c r="G53" i="10"/>
  <c r="G51" i="10"/>
  <c r="G48" i="10"/>
  <c r="G43" i="10"/>
  <c r="G37" i="10"/>
  <c r="H168" i="9"/>
  <c r="H167" i="9"/>
  <c r="F166" i="9"/>
  <c r="H166" i="9" s="1"/>
  <c r="H165" i="9"/>
  <c r="H164" i="9"/>
  <c r="F159" i="9"/>
  <c r="F160" i="9" s="1"/>
  <c r="H160" i="9" s="1"/>
  <c r="H158" i="9"/>
  <c r="F157" i="9"/>
  <c r="H157" i="9" s="1"/>
  <c r="F155" i="9"/>
  <c r="H155" i="9" s="1"/>
  <c r="F154" i="9"/>
  <c r="H154" i="9" s="1"/>
  <c r="F149" i="9"/>
  <c r="F151" i="9" s="1"/>
  <c r="F153" i="9" s="1"/>
  <c r="H153" i="9" s="1"/>
  <c r="H147" i="9"/>
  <c r="H146" i="9"/>
  <c r="H145" i="9"/>
  <c r="F143" i="9"/>
  <c r="H143" i="9" s="1"/>
  <c r="H141" i="9"/>
  <c r="H140" i="9"/>
  <c r="F139" i="9"/>
  <c r="H139" i="9" s="1"/>
  <c r="H138" i="9"/>
  <c r="H137" i="9"/>
  <c r="F136" i="9"/>
  <c r="H136" i="9" s="1"/>
  <c r="F135" i="9"/>
  <c r="H135" i="9" s="1"/>
  <c r="F134" i="9"/>
  <c r="H134" i="9" s="1"/>
  <c r="H133" i="9"/>
  <c r="H132" i="9"/>
  <c r="H131" i="9"/>
  <c r="H130" i="9"/>
  <c r="H128" i="9"/>
  <c r="H127" i="9"/>
  <c r="H126" i="9"/>
  <c r="H125" i="9"/>
  <c r="H123" i="9"/>
  <c r="H122" i="9"/>
  <c r="H120" i="9"/>
  <c r="H119" i="9"/>
  <c r="F113" i="9"/>
  <c r="F115" i="9" s="1"/>
  <c r="H115" i="9" s="1"/>
  <c r="F110" i="9"/>
  <c r="H110" i="9" s="1"/>
  <c r="F108" i="9"/>
  <c r="H108" i="9" s="1"/>
  <c r="F107" i="9"/>
  <c r="H107" i="9" s="1"/>
  <c r="F102" i="9"/>
  <c r="H102" i="9" s="1"/>
  <c r="H99" i="9"/>
  <c r="H98" i="9"/>
  <c r="H97" i="9"/>
  <c r="H96" i="9"/>
  <c r="H95" i="9"/>
  <c r="H94" i="9"/>
  <c r="F93" i="9"/>
  <c r="H93" i="9" s="1"/>
  <c r="F92" i="9"/>
  <c r="H92" i="9" s="1"/>
  <c r="H88" i="9"/>
  <c r="H86" i="9"/>
  <c r="F85" i="9"/>
  <c r="F87" i="9" s="1"/>
  <c r="H87" i="9" s="1"/>
  <c r="H84" i="9"/>
  <c r="F83" i="9"/>
  <c r="H83" i="9" s="1"/>
  <c r="F81" i="9"/>
  <c r="H81" i="9" s="1"/>
  <c r="F80" i="9"/>
  <c r="H80" i="9" s="1"/>
  <c r="F76" i="9"/>
  <c r="F74" i="9"/>
  <c r="H74" i="9" s="1"/>
  <c r="H72" i="9"/>
  <c r="H71" i="9"/>
  <c r="H70" i="9"/>
  <c r="H69" i="9"/>
  <c r="H68" i="9"/>
  <c r="H67" i="9"/>
  <c r="H66" i="9"/>
  <c r="H65" i="9"/>
  <c r="H64" i="9"/>
  <c r="H63" i="9"/>
  <c r="H62" i="9"/>
  <c r="H61" i="9"/>
  <c r="H60" i="9"/>
  <c r="H59" i="9"/>
  <c r="H58" i="9"/>
  <c r="H57" i="9"/>
  <c r="H56" i="9"/>
  <c r="H55" i="9"/>
  <c r="H54" i="9"/>
  <c r="F53" i="9"/>
  <c r="H53" i="9" s="1"/>
  <c r="F52" i="9"/>
  <c r="H52" i="9" s="1"/>
  <c r="H51" i="9"/>
  <c r="H50" i="9"/>
  <c r="F49" i="9"/>
  <c r="H49" i="9" s="1"/>
  <c r="H48" i="9"/>
  <c r="H47" i="9"/>
  <c r="H46" i="9"/>
  <c r="H45" i="9"/>
  <c r="H44" i="9"/>
  <c r="H43" i="9"/>
  <c r="H42" i="9"/>
  <c r="H41" i="9"/>
  <c r="H819" i="1"/>
  <c r="H825" i="1"/>
  <c r="H824" i="1"/>
  <c r="H823" i="1"/>
  <c r="I818" i="1"/>
  <c r="H818" i="1"/>
  <c r="I807" i="1"/>
  <c r="I806" i="1"/>
  <c r="I805" i="1"/>
  <c r="I804" i="1"/>
  <c r="I803" i="1"/>
  <c r="I815" i="1"/>
  <c r="I816" i="1"/>
  <c r="I817" i="1"/>
  <c r="I427" i="1"/>
  <c r="I426" i="1"/>
  <c r="I425" i="1"/>
  <c r="I423" i="1"/>
  <c r="I422" i="1"/>
  <c r="I421" i="1"/>
  <c r="I420" i="1"/>
  <c r="I419" i="1"/>
  <c r="I418" i="1"/>
  <c r="I416" i="1"/>
  <c r="I415" i="1"/>
  <c r="I414" i="1"/>
  <c r="I413" i="1"/>
  <c r="I411" i="1"/>
  <c r="H817" i="1"/>
  <c r="F808" i="1"/>
  <c r="F810" i="1" s="1"/>
  <c r="I810" i="1" s="1"/>
  <c r="F802" i="1"/>
  <c r="I802" i="1" s="1"/>
  <c r="H651" i="1"/>
  <c r="H816" i="1"/>
  <c r="H815" i="1"/>
  <c r="H807" i="1"/>
  <c r="H806" i="1"/>
  <c r="H805" i="1"/>
  <c r="H804" i="1"/>
  <c r="H803" i="1"/>
  <c r="F778" i="1"/>
  <c r="H778" i="1" s="1"/>
  <c r="H552" i="1"/>
  <c r="H178" i="1"/>
  <c r="F100" i="1"/>
  <c r="F78" i="1"/>
  <c r="F800" i="1"/>
  <c r="I800" i="1" s="1"/>
  <c r="I798" i="1"/>
  <c r="F799" i="1"/>
  <c r="H799" i="1" s="1"/>
  <c r="H798" i="1"/>
  <c r="I797" i="1"/>
  <c r="H797" i="1"/>
  <c r="I796" i="1"/>
  <c r="H796" i="1"/>
  <c r="I795" i="1"/>
  <c r="H795" i="1"/>
  <c r="F782" i="1"/>
  <c r="F791" i="1" s="1"/>
  <c r="F768" i="1"/>
  <c r="F767" i="1"/>
  <c r="F763" i="1"/>
  <c r="F762" i="1"/>
  <c r="H762" i="1" s="1"/>
  <c r="F761" i="1"/>
  <c r="I761" i="1" s="1"/>
  <c r="F759" i="1"/>
  <c r="H759" i="1" s="1"/>
  <c r="F758" i="1"/>
  <c r="I758" i="1" s="1"/>
  <c r="F756" i="1"/>
  <c r="H756" i="1" s="1"/>
  <c r="F754" i="1"/>
  <c r="I751" i="1"/>
  <c r="H751" i="1"/>
  <c r="F750" i="1"/>
  <c r="I750" i="1" s="1"/>
  <c r="F749" i="1"/>
  <c r="H749" i="1" s="1"/>
  <c r="F748" i="1"/>
  <c r="I748" i="1" s="1"/>
  <c r="F747" i="1"/>
  <c r="I747" i="1" s="1"/>
  <c r="H746" i="1"/>
  <c r="F745" i="1"/>
  <c r="I745" i="1" s="1"/>
  <c r="H744" i="1"/>
  <c r="I740" i="1"/>
  <c r="F739" i="1"/>
  <c r="F738" i="1"/>
  <c r="F737" i="1"/>
  <c r="F729" i="1"/>
  <c r="H729" i="1" s="1"/>
  <c r="F728" i="1"/>
  <c r="I728" i="1" s="1"/>
  <c r="F727" i="1"/>
  <c r="H727" i="1" s="1"/>
  <c r="F726" i="1"/>
  <c r="I726" i="1" s="1"/>
  <c r="F724" i="1"/>
  <c r="H724" i="1" s="1"/>
  <c r="I723" i="1"/>
  <c r="H723" i="1"/>
  <c r="F721" i="1"/>
  <c r="F720" i="1"/>
  <c r="F719" i="1"/>
  <c r="F704" i="1"/>
  <c r="F696" i="1"/>
  <c r="I696" i="1" s="1"/>
  <c r="H33" i="3"/>
  <c r="H34" i="3"/>
  <c r="H35" i="3"/>
  <c r="H36" i="3"/>
  <c r="H37" i="3"/>
  <c r="H52" i="3"/>
  <c r="F53" i="3"/>
  <c r="I53" i="3" s="1"/>
  <c r="H54" i="3"/>
  <c r="I54" i="3"/>
  <c r="F58" i="3"/>
  <c r="F59" i="3"/>
  <c r="H59" i="3" s="1"/>
  <c r="F63" i="3"/>
  <c r="H63" i="3" s="1"/>
  <c r="F64" i="3"/>
  <c r="H64" i="3"/>
  <c r="F65" i="3"/>
  <c r="H68" i="3"/>
  <c r="H69" i="3"/>
  <c r="H70" i="3"/>
  <c r="G71" i="3"/>
  <c r="H71" i="3" s="1"/>
  <c r="F72" i="3"/>
  <c r="H72" i="3" s="1"/>
  <c r="G73" i="3"/>
  <c r="H73" i="3"/>
  <c r="F75" i="3"/>
  <c r="H75" i="3" s="1"/>
  <c r="F76" i="3"/>
  <c r="H76" i="3" s="1"/>
  <c r="F79" i="3"/>
  <c r="I79" i="3" s="1"/>
  <c r="F80" i="3"/>
  <c r="H80" i="3" s="1"/>
  <c r="I80" i="3"/>
  <c r="H81" i="3"/>
  <c r="I81" i="3"/>
  <c r="F86" i="3"/>
  <c r="G88" i="3"/>
  <c r="H88" i="3" s="1"/>
  <c r="I88" i="3"/>
  <c r="F89" i="3"/>
  <c r="H89" i="3" s="1"/>
  <c r="F90" i="3"/>
  <c r="F91" i="3"/>
  <c r="H91" i="3" s="1"/>
  <c r="G92" i="3"/>
  <c r="H92" i="3" s="1"/>
  <c r="F98" i="3"/>
  <c r="G100" i="3"/>
  <c r="G101" i="3"/>
  <c r="H101" i="3" s="1"/>
  <c r="I101" i="3"/>
  <c r="G102" i="3"/>
  <c r="H102" i="3"/>
  <c r="I102" i="3"/>
  <c r="F103" i="3"/>
  <c r="I103" i="3" s="1"/>
  <c r="H104" i="3"/>
  <c r="I104" i="3"/>
  <c r="H105" i="3"/>
  <c r="I105" i="3"/>
  <c r="F109" i="3"/>
  <c r="H109" i="3"/>
  <c r="I109" i="3"/>
  <c r="F111" i="3"/>
  <c r="G112" i="3"/>
  <c r="H112" i="3"/>
  <c r="I112" i="3"/>
  <c r="F113" i="3"/>
  <c r="H113" i="3" s="1"/>
  <c r="I113" i="3"/>
  <c r="H114" i="3"/>
  <c r="I114" i="3"/>
  <c r="H115" i="3"/>
  <c r="I115" i="3"/>
  <c r="F116" i="3"/>
  <c r="I116" i="3" s="1"/>
  <c r="F117" i="3"/>
  <c r="H119" i="3"/>
  <c r="H120" i="3"/>
  <c r="H121" i="3"/>
  <c r="H125" i="3"/>
  <c r="H127" i="3"/>
  <c r="H128" i="3"/>
  <c r="H129" i="3"/>
  <c r="H131" i="3" s="1"/>
  <c r="G133" i="3"/>
  <c r="H133" i="3"/>
  <c r="I133" i="3"/>
  <c r="F136" i="3"/>
  <c r="G136" i="3"/>
  <c r="F137" i="3"/>
  <c r="H137" i="3" s="1"/>
  <c r="G137" i="3"/>
  <c r="H138" i="3"/>
  <c r="I138" i="3"/>
  <c r="G141" i="3"/>
  <c r="H141" i="3" s="1"/>
  <c r="I141" i="3"/>
  <c r="G144" i="3"/>
  <c r="H144" i="3"/>
  <c r="I144" i="3"/>
  <c r="G147" i="3"/>
  <c r="H147" i="3" s="1"/>
  <c r="I147" i="3"/>
  <c r="H148" i="3"/>
  <c r="I148" i="3"/>
  <c r="G151" i="3"/>
  <c r="H151" i="3" s="1"/>
  <c r="I151" i="3"/>
  <c r="G154" i="3"/>
  <c r="H154" i="3" s="1"/>
  <c r="I154" i="3"/>
  <c r="G157" i="3"/>
  <c r="H157" i="3"/>
  <c r="I157" i="3"/>
  <c r="H158" i="3"/>
  <c r="I158" i="3"/>
  <c r="H161" i="3"/>
  <c r="I161" i="3"/>
  <c r="F164" i="3"/>
  <c r="I164" i="3" s="1"/>
  <c r="G164" i="3"/>
  <c r="G167" i="3"/>
  <c r="H167" i="3" s="1"/>
  <c r="I167" i="3"/>
  <c r="H168" i="3"/>
  <c r="I168" i="3"/>
  <c r="F171" i="3"/>
  <c r="F172" i="3"/>
  <c r="H172" i="3" s="1"/>
  <c r="F174" i="3"/>
  <c r="H174" i="3"/>
  <c r="I174" i="3"/>
  <c r="F176" i="3"/>
  <c r="H176" i="3" s="1"/>
  <c r="H178" i="3"/>
  <c r="G179" i="3"/>
  <c r="H179" i="3" s="1"/>
  <c r="H181" i="3"/>
  <c r="F182" i="3"/>
  <c r="H182" i="3"/>
  <c r="I182" i="3"/>
  <c r="F184" i="3"/>
  <c r="H184" i="3"/>
  <c r="I184" i="3"/>
  <c r="F186" i="3"/>
  <c r="F189" i="3" s="1"/>
  <c r="I189" i="3" s="1"/>
  <c r="H188" i="3"/>
  <c r="I188" i="3"/>
  <c r="F190" i="3"/>
  <c r="H190" i="3"/>
  <c r="F191" i="3"/>
  <c r="H191" i="3" s="1"/>
  <c r="F202" i="3"/>
  <c r="H202" i="3"/>
  <c r="I202" i="3"/>
  <c r="G204" i="3"/>
  <c r="H204" i="3" s="1"/>
  <c r="I204" i="3"/>
  <c r="G207" i="3"/>
  <c r="H207" i="3" s="1"/>
  <c r="I207" i="3"/>
  <c r="F209" i="3"/>
  <c r="I209" i="3" s="1"/>
  <c r="H209" i="3"/>
  <c r="F210" i="3"/>
  <c r="I210" i="3" s="1"/>
  <c r="H212" i="3"/>
  <c r="I212" i="3"/>
  <c r="H214" i="3"/>
  <c r="I214" i="3"/>
  <c r="H215" i="3"/>
  <c r="I215" i="3"/>
  <c r="H216" i="3"/>
  <c r="I216" i="3"/>
  <c r="F223" i="3"/>
  <c r="F222" i="3" s="1"/>
  <c r="I222" i="3" s="1"/>
  <c r="F224" i="3"/>
  <c r="G225" i="3"/>
  <c r="H225" i="3"/>
  <c r="I225" i="3"/>
  <c r="H227" i="3"/>
  <c r="F233" i="3"/>
  <c r="H233" i="3" s="1"/>
  <c r="H236" i="3"/>
  <c r="I236" i="3"/>
  <c r="H239" i="3"/>
  <c r="I239" i="3"/>
  <c r="F240" i="3"/>
  <c r="H240" i="3"/>
  <c r="F243" i="3"/>
  <c r="H243" i="3" s="1"/>
  <c r="H244" i="3"/>
  <c r="I244" i="3"/>
  <c r="H245" i="3"/>
  <c r="I245" i="3"/>
  <c r="H246" i="3"/>
  <c r="I246" i="3"/>
  <c r="F250" i="3"/>
  <c r="H250" i="3" s="1"/>
  <c r="F253" i="3"/>
  <c r="I253" i="3" s="1"/>
  <c r="H257" i="3"/>
  <c r="I257" i="3"/>
  <c r="H258" i="3"/>
  <c r="I258" i="3"/>
  <c r="F259" i="3"/>
  <c r="H259" i="3"/>
  <c r="I259" i="3"/>
  <c r="H261" i="3"/>
  <c r="I261" i="3"/>
  <c r="F262" i="3"/>
  <c r="H264" i="3"/>
  <c r="I264" i="3"/>
  <c r="F268" i="3"/>
  <c r="F269" i="3"/>
  <c r="F267" i="3" s="1"/>
  <c r="F271" i="3"/>
  <c r="F273" i="3" s="1"/>
  <c r="H277" i="3"/>
  <c r="I277" i="3"/>
  <c r="F281" i="3"/>
  <c r="G283" i="3"/>
  <c r="H283" i="3" s="1"/>
  <c r="I283" i="3"/>
  <c r="H284" i="3"/>
  <c r="I284" i="3"/>
  <c r="F286" i="3"/>
  <c r="H286" i="3" s="1"/>
  <c r="F289" i="3"/>
  <c r="H289" i="3" s="1"/>
  <c r="I289" i="3"/>
  <c r="F290" i="3"/>
  <c r="F291" i="3"/>
  <c r="H291" i="3" s="1"/>
  <c r="F293" i="3"/>
  <c r="I293" i="3" s="1"/>
  <c r="H293" i="3"/>
  <c r="F294" i="3"/>
  <c r="H295" i="3"/>
  <c r="I295" i="3"/>
  <c r="H298" i="3"/>
  <c r="I298" i="3"/>
  <c r="F304" i="3"/>
  <c r="F305" i="3"/>
  <c r="F308" i="3"/>
  <c r="F309" i="3"/>
  <c r="F310" i="3"/>
  <c r="F307" i="3" s="1"/>
  <c r="I307" i="3" s="1"/>
  <c r="F313" i="3"/>
  <c r="F314" i="3"/>
  <c r="F315" i="3"/>
  <c r="F318" i="3"/>
  <c r="F321" i="3"/>
  <c r="H321" i="3" s="1"/>
  <c r="H324" i="3"/>
  <c r="I324" i="3"/>
  <c r="F329" i="3"/>
  <c r="F328" i="3" s="1"/>
  <c r="F330" i="3"/>
  <c r="F331" i="3"/>
  <c r="F332" i="3"/>
  <c r="F334" i="3"/>
  <c r="F335" i="3"/>
  <c r="F336" i="3"/>
  <c r="F337" i="3"/>
  <c r="F338" i="3"/>
  <c r="F342" i="3"/>
  <c r="F343" i="3"/>
  <c r="F344" i="3"/>
  <c r="F348" i="3"/>
  <c r="F349" i="3"/>
  <c r="F350" i="3"/>
  <c r="F351" i="3"/>
  <c r="H351" i="3"/>
  <c r="I351" i="3"/>
  <c r="H353" i="3"/>
  <c r="H354" i="3"/>
  <c r="I354" i="3"/>
  <c r="F360" i="3"/>
  <c r="I360" i="3" s="1"/>
  <c r="F361" i="3"/>
  <c r="F362" i="3"/>
  <c r="F365" i="3"/>
  <c r="F366" i="3"/>
  <c r="F367" i="3"/>
  <c r="F372" i="3"/>
  <c r="H372" i="3"/>
  <c r="I372" i="3"/>
  <c r="F375" i="3"/>
  <c r="F374" i="3" s="1"/>
  <c r="F376" i="3"/>
  <c r="F379" i="3"/>
  <c r="F380" i="3"/>
  <c r="F381" i="3"/>
  <c r="F382" i="3"/>
  <c r="F383" i="3"/>
  <c r="F388" i="3"/>
  <c r="F389" i="3"/>
  <c r="F390" i="3"/>
  <c r="F391" i="3"/>
  <c r="F392" i="3"/>
  <c r="F397" i="3"/>
  <c r="H397" i="3" s="1"/>
  <c r="H398" i="3"/>
  <c r="I398" i="3"/>
  <c r="F403" i="3"/>
  <c r="F405" i="3"/>
  <c r="F407" i="3"/>
  <c r="H407" i="3"/>
  <c r="I407" i="3"/>
  <c r="F409" i="3"/>
  <c r="I409" i="3" s="1"/>
  <c r="H411" i="3"/>
  <c r="I411" i="3"/>
  <c r="H413" i="3"/>
  <c r="I413" i="3"/>
  <c r="H415" i="3"/>
  <c r="I415" i="3"/>
  <c r="F416" i="3"/>
  <c r="F420" i="3"/>
  <c r="H420" i="3" s="1"/>
  <c r="F423" i="3"/>
  <c r="H423" i="3"/>
  <c r="H425" i="3"/>
  <c r="I425" i="3"/>
  <c r="H428" i="3"/>
  <c r="I428" i="3"/>
  <c r="F432" i="3"/>
  <c r="I432" i="3" s="1"/>
  <c r="F435" i="3"/>
  <c r="H435" i="3" s="1"/>
  <c r="I435" i="3"/>
  <c r="H437" i="3"/>
  <c r="I437" i="3"/>
  <c r="F438" i="3"/>
  <c r="I438" i="3" s="1"/>
  <c r="H440" i="3"/>
  <c r="I440" i="3"/>
  <c r="F444" i="3"/>
  <c r="H444" i="3"/>
  <c r="I444" i="3"/>
  <c r="F447" i="3"/>
  <c r="I447" i="3" s="1"/>
  <c r="H449" i="3"/>
  <c r="I449" i="3"/>
  <c r="F450" i="3"/>
  <c r="H450" i="3" s="1"/>
  <c r="H452" i="3"/>
  <c r="I452" i="3"/>
  <c r="F458" i="3"/>
  <c r="F459" i="3"/>
  <c r="F460" i="3"/>
  <c r="F461" i="3"/>
  <c r="F462" i="3"/>
  <c r="F465" i="3"/>
  <c r="F466" i="3"/>
  <c r="F467" i="3"/>
  <c r="F468" i="3"/>
  <c r="F469" i="3"/>
  <c r="F478" i="3"/>
  <c r="F479" i="3"/>
  <c r="F480" i="3"/>
  <c r="F481" i="3"/>
  <c r="F482" i="3"/>
  <c r="G486" i="3"/>
  <c r="H486" i="3" s="1"/>
  <c r="H490" i="3"/>
  <c r="H491" i="3"/>
  <c r="H492" i="3"/>
  <c r="H493" i="3"/>
  <c r="H496" i="3"/>
  <c r="H497" i="3"/>
  <c r="H498" i="3"/>
  <c r="H499" i="3"/>
  <c r="H500" i="3"/>
  <c r="H501" i="3"/>
  <c r="H504" i="3"/>
  <c r="H505" i="3"/>
  <c r="H506" i="3"/>
  <c r="G509" i="3"/>
  <c r="H509" i="3" s="1"/>
  <c r="G510" i="3"/>
  <c r="H510" i="3"/>
  <c r="G511" i="3"/>
  <c r="H511" i="3" s="1"/>
  <c r="G512" i="3"/>
  <c r="H512" i="3"/>
  <c r="H513" i="3"/>
  <c r="F515" i="3"/>
  <c r="H515" i="3" s="1"/>
  <c r="H517" i="3"/>
  <c r="H521" i="3"/>
  <c r="F525" i="3"/>
  <c r="F529" i="3"/>
  <c r="F534" i="3"/>
  <c r="H534" i="3" s="1"/>
  <c r="I534" i="3"/>
  <c r="F537" i="3"/>
  <c r="F538" i="3"/>
  <c r="F539" i="3"/>
  <c r="H539" i="3" s="1"/>
  <c r="F540" i="3"/>
  <c r="I540" i="3" s="1"/>
  <c r="F543" i="3"/>
  <c r="F544" i="3"/>
  <c r="H544" i="3" s="1"/>
  <c r="H546" i="3"/>
  <c r="I546" i="3"/>
  <c r="H547" i="3"/>
  <c r="I547" i="3"/>
  <c r="H548" i="3"/>
  <c r="I548" i="3"/>
  <c r="F555" i="3"/>
  <c r="F556" i="3"/>
  <c r="F557" i="3"/>
  <c r="F558" i="3"/>
  <c r="F562" i="3"/>
  <c r="I562" i="3" s="1"/>
  <c r="H562" i="3"/>
  <c r="F564" i="3"/>
  <c r="H564" i="3" s="1"/>
  <c r="H566" i="3"/>
  <c r="I566" i="3"/>
  <c r="H569" i="3"/>
  <c r="I569" i="3"/>
  <c r="H570" i="3"/>
  <c r="H571" i="3"/>
  <c r="F572" i="3"/>
  <c r="H572" i="3" s="1"/>
  <c r="F577" i="3"/>
  <c r="F578" i="3"/>
  <c r="F576" i="3" s="1"/>
  <c r="F581" i="3"/>
  <c r="F580" i="3" s="1"/>
  <c r="F596" i="3" s="1"/>
  <c r="F582" i="3"/>
  <c r="F583" i="3"/>
  <c r="F586" i="3"/>
  <c r="F587" i="3"/>
  <c r="F594" i="3"/>
  <c r="H599" i="3"/>
  <c r="G608" i="3"/>
  <c r="F610" i="3"/>
  <c r="H611" i="3"/>
  <c r="I611" i="3"/>
  <c r="F613" i="3"/>
  <c r="F615" i="3"/>
  <c r="I615" i="3" s="1"/>
  <c r="H616" i="3"/>
  <c r="I616" i="3"/>
  <c r="F617" i="3"/>
  <c r="H617" i="3" s="1"/>
  <c r="G617" i="3"/>
  <c r="H618" i="3"/>
  <c r="F623" i="3"/>
  <c r="G623" i="3"/>
  <c r="G624" i="3"/>
  <c r="G625" i="3"/>
  <c r="H625" i="3" s="1"/>
  <c r="I625" i="3"/>
  <c r="G626" i="3"/>
  <c r="H626" i="3" s="1"/>
  <c r="I626" i="3"/>
  <c r="H628" i="3"/>
  <c r="I628" i="3"/>
  <c r="F629" i="3"/>
  <c r="I629" i="3" s="1"/>
  <c r="F637" i="3"/>
  <c r="F638" i="3"/>
  <c r="F639" i="3"/>
  <c r="F640" i="3"/>
  <c r="F641" i="3"/>
  <c r="F642" i="3"/>
  <c r="F643" i="3"/>
  <c r="F644" i="3"/>
  <c r="F647" i="3"/>
  <c r="F648" i="3"/>
  <c r="F649" i="3"/>
  <c r="F650" i="3"/>
  <c r="F651" i="3"/>
  <c r="F652" i="3"/>
  <c r="F653" i="3"/>
  <c r="F654" i="3"/>
  <c r="F657" i="3"/>
  <c r="F658" i="3"/>
  <c r="F659" i="3"/>
  <c r="F660" i="3"/>
  <c r="F661" i="3"/>
  <c r="F662" i="3"/>
  <c r="F663" i="3"/>
  <c r="F664" i="3"/>
  <c r="F667" i="3"/>
  <c r="F668" i="3"/>
  <c r="F669" i="3"/>
  <c r="F670" i="3"/>
  <c r="F671" i="3"/>
  <c r="F672" i="3"/>
  <c r="F673" i="3"/>
  <c r="F674" i="3"/>
  <c r="F676" i="3"/>
  <c r="F677" i="3"/>
  <c r="F679" i="3"/>
  <c r="F631" i="3" s="1"/>
  <c r="H631" i="3" s="1"/>
  <c r="G682" i="3"/>
  <c r="H682" i="3"/>
  <c r="I682" i="3"/>
  <c r="F684" i="3"/>
  <c r="H684" i="3"/>
  <c r="I684" i="3"/>
  <c r="H685" i="3"/>
  <c r="I685" i="3"/>
  <c r="F688" i="3"/>
  <c r="F690" i="3"/>
  <c r="H690" i="3" s="1"/>
  <c r="F691" i="3"/>
  <c r="I691" i="3" s="1"/>
  <c r="F692" i="3"/>
  <c r="H692" i="3" s="1"/>
  <c r="I692" i="3"/>
  <c r="F698" i="3"/>
  <c r="F699" i="3"/>
  <c r="F705" i="3"/>
  <c r="F709" i="3"/>
  <c r="F712" i="3"/>
  <c r="F683" i="3" s="1"/>
  <c r="G717" i="3"/>
  <c r="H721" i="3"/>
  <c r="I721" i="3"/>
  <c r="F728" i="3"/>
  <c r="F729" i="3"/>
  <c r="F730" i="3"/>
  <c r="F731" i="3"/>
  <c r="F732" i="3"/>
  <c r="F735" i="3"/>
  <c r="F736" i="3"/>
  <c r="F737" i="3"/>
  <c r="F738" i="3"/>
  <c r="F734" i="3" s="1"/>
  <c r="F718" i="3" s="1"/>
  <c r="F739" i="3"/>
  <c r="F743" i="3"/>
  <c r="G743" i="3"/>
  <c r="H743" i="3"/>
  <c r="I743" i="3"/>
  <c r="F744" i="3"/>
  <c r="H744" i="3" s="1"/>
  <c r="I744" i="3"/>
  <c r="F745" i="3"/>
  <c r="I745" i="3" s="1"/>
  <c r="H746" i="3"/>
  <c r="I746" i="3"/>
  <c r="F749" i="3"/>
  <c r="F750" i="3" s="1"/>
  <c r="I750" i="3" s="1"/>
  <c r="F751" i="3"/>
  <c r="H751" i="3" s="1"/>
  <c r="F753" i="3"/>
  <c r="G753" i="3"/>
  <c r="F754" i="3"/>
  <c r="I754" i="3" s="1"/>
  <c r="F755" i="3"/>
  <c r="I755" i="3" s="1"/>
  <c r="H756" i="3"/>
  <c r="I756" i="3"/>
  <c r="F764" i="3"/>
  <c r="G764" i="3"/>
  <c r="F766" i="3"/>
  <c r="H766" i="3" s="1"/>
  <c r="G766" i="3"/>
  <c r="F767" i="3"/>
  <c r="G767" i="3"/>
  <c r="H767" i="3" s="1"/>
  <c r="F768" i="3"/>
  <c r="H768" i="3" s="1"/>
  <c r="G768" i="3"/>
  <c r="F769" i="3"/>
  <c r="G769" i="3"/>
  <c r="F771" i="3"/>
  <c r="F773" i="3" s="1"/>
  <c r="H773" i="3" s="1"/>
  <c r="F772" i="3"/>
  <c r="G772" i="3"/>
  <c r="H772" i="3"/>
  <c r="F774" i="3"/>
  <c r="G774" i="3"/>
  <c r="F775" i="3"/>
  <c r="H775" i="3" s="1"/>
  <c r="F776" i="3"/>
  <c r="H776" i="3" s="1"/>
  <c r="G776" i="3"/>
  <c r="F778" i="3"/>
  <c r="H778" i="3"/>
  <c r="F779" i="3"/>
  <c r="H779" i="3" s="1"/>
  <c r="F780" i="3"/>
  <c r="H780" i="3" s="1"/>
  <c r="F783" i="3"/>
  <c r="H783" i="3" s="1"/>
  <c r="G787" i="3"/>
  <c r="H787" i="3" s="1"/>
  <c r="G788" i="3"/>
  <c r="H788" i="3"/>
  <c r="G789" i="3"/>
  <c r="H789" i="3" s="1"/>
  <c r="H790" i="3"/>
  <c r="F791" i="3"/>
  <c r="G791" i="3"/>
  <c r="H791" i="3" s="1"/>
  <c r="F792" i="3"/>
  <c r="G792" i="3"/>
  <c r="H792" i="3" s="1"/>
  <c r="F793" i="3"/>
  <c r="H793" i="3" s="1"/>
  <c r="G793" i="3"/>
  <c r="H794" i="3"/>
  <c r="H795" i="3"/>
  <c r="H796" i="3"/>
  <c r="H797" i="3"/>
  <c r="F798" i="3"/>
  <c r="H798" i="3" s="1"/>
  <c r="H799" i="3"/>
  <c r="G800" i="3"/>
  <c r="F801" i="3"/>
  <c r="F802" i="3"/>
  <c r="F803" i="3"/>
  <c r="F804" i="3"/>
  <c r="F808" i="3"/>
  <c r="H808" i="3" s="1"/>
  <c r="F809" i="3"/>
  <c r="H809" i="3"/>
  <c r="H810" i="3"/>
  <c r="F811" i="3"/>
  <c r="G811" i="3"/>
  <c r="H812" i="3"/>
  <c r="F813" i="3"/>
  <c r="H813" i="3" s="1"/>
  <c r="F814" i="3"/>
  <c r="G814" i="3"/>
  <c r="H815" i="3"/>
  <c r="F816" i="3"/>
  <c r="H816" i="3" s="1"/>
  <c r="G816" i="3"/>
  <c r="H817" i="3"/>
  <c r="F818" i="3"/>
  <c r="G818" i="3"/>
  <c r="H818" i="3" s="1"/>
  <c r="H819" i="3"/>
  <c r="H820" i="3"/>
  <c r="F821" i="3"/>
  <c r="H821" i="3" s="1"/>
  <c r="F822" i="3"/>
  <c r="H822" i="3" s="1"/>
  <c r="F829" i="3"/>
  <c r="H829" i="3"/>
  <c r="F831" i="3"/>
  <c r="H831" i="3" s="1"/>
  <c r="H833" i="3"/>
  <c r="F834" i="3"/>
  <c r="H834" i="3" s="1"/>
  <c r="H835" i="3"/>
  <c r="F836" i="3"/>
  <c r="H836" i="3" s="1"/>
  <c r="G836" i="3"/>
  <c r="H837" i="3"/>
  <c r="F838" i="3"/>
  <c r="H838" i="3" s="1"/>
  <c r="G838" i="3"/>
  <c r="F840" i="3"/>
  <c r="H840" i="3" s="1"/>
  <c r="F841" i="3"/>
  <c r="H841" i="3" s="1"/>
  <c r="F842" i="3"/>
  <c r="H842" i="3" s="1"/>
  <c r="H845" i="3"/>
  <c r="H846" i="3"/>
  <c r="H847" i="3"/>
  <c r="H848" i="3"/>
  <c r="F850" i="3"/>
  <c r="H850" i="3" s="1"/>
  <c r="G851" i="3"/>
  <c r="H851" i="3" s="1"/>
  <c r="G852" i="3"/>
  <c r="H852" i="3" s="1"/>
  <c r="H853" i="3"/>
  <c r="H61" i="1"/>
  <c r="F62" i="1"/>
  <c r="I62" i="1" s="1"/>
  <c r="H63" i="1"/>
  <c r="I63" i="1"/>
  <c r="H70" i="1"/>
  <c r="H74" i="1"/>
  <c r="F75" i="1"/>
  <c r="H75" i="1" s="1"/>
  <c r="F76" i="1"/>
  <c r="H76" i="1" s="1"/>
  <c r="F79" i="1"/>
  <c r="I79" i="1" s="1"/>
  <c r="F80" i="1"/>
  <c r="I80" i="1" s="1"/>
  <c r="H81" i="1"/>
  <c r="I81" i="1"/>
  <c r="F85" i="1"/>
  <c r="F87" i="1"/>
  <c r="H87" i="1" s="1"/>
  <c r="F88" i="1"/>
  <c r="H88" i="1" s="1"/>
  <c r="F89" i="1"/>
  <c r="H89" i="1" s="1"/>
  <c r="H90" i="1"/>
  <c r="F94" i="1"/>
  <c r="I94" i="1" s="1"/>
  <c r="H97" i="1"/>
  <c r="I97" i="1"/>
  <c r="H98" i="1"/>
  <c r="I98" i="1"/>
  <c r="F99" i="1"/>
  <c r="H99" i="1" s="1"/>
  <c r="H101" i="1"/>
  <c r="I101" i="1"/>
  <c r="H102" i="1"/>
  <c r="I102" i="1"/>
  <c r="F104" i="1"/>
  <c r="F105" i="1"/>
  <c r="H105" i="1" s="1"/>
  <c r="H106" i="1"/>
  <c r="I106" i="1"/>
  <c r="F107" i="1"/>
  <c r="I107" i="1" s="1"/>
  <c r="H108" i="1"/>
  <c r="I108" i="1"/>
  <c r="H109" i="1"/>
  <c r="I109" i="1"/>
  <c r="F110" i="1"/>
  <c r="I110" i="1" s="1"/>
  <c r="F111" i="1"/>
  <c r="I111" i="1" s="1"/>
  <c r="H113" i="1"/>
  <c r="H114" i="1"/>
  <c r="H115" i="1"/>
  <c r="H120" i="1"/>
  <c r="H121" i="1"/>
  <c r="H122" i="1"/>
  <c r="H123" i="1"/>
  <c r="H124" i="1" s="1"/>
  <c r="H126" i="1"/>
  <c r="F128" i="1"/>
  <c r="I128" i="1" s="1"/>
  <c r="F129" i="1"/>
  <c r="I129" i="1" s="1"/>
  <c r="H130" i="1"/>
  <c r="I130" i="1"/>
  <c r="H132" i="1"/>
  <c r="H134" i="1"/>
  <c r="H137" i="1"/>
  <c r="I137" i="1"/>
  <c r="H138" i="1"/>
  <c r="I138" i="1"/>
  <c r="H140" i="1"/>
  <c r="H142" i="1"/>
  <c r="H145" i="1"/>
  <c r="I145" i="1"/>
  <c r="H146" i="1"/>
  <c r="I146" i="1"/>
  <c r="H148" i="1"/>
  <c r="F150" i="1"/>
  <c r="I150" i="1" s="1"/>
  <c r="H152" i="1"/>
  <c r="I152" i="1"/>
  <c r="H153" i="1"/>
  <c r="I153" i="1"/>
  <c r="F157" i="1"/>
  <c r="H157" i="1" s="1"/>
  <c r="F158" i="1"/>
  <c r="H160" i="1"/>
  <c r="H161" i="1"/>
  <c r="H163" i="1"/>
  <c r="F164" i="1"/>
  <c r="H164" i="1" s="1"/>
  <c r="F166" i="1"/>
  <c r="I166" i="1" s="1"/>
  <c r="F167" i="1"/>
  <c r="I167" i="1" s="1"/>
  <c r="H169" i="1"/>
  <c r="I169" i="1"/>
  <c r="F184" i="1"/>
  <c r="I184" i="1" s="1"/>
  <c r="H186" i="1"/>
  <c r="I186" i="1"/>
  <c r="H188" i="1"/>
  <c r="I188" i="1"/>
  <c r="F189" i="1"/>
  <c r="H189" i="1" s="1"/>
  <c r="H192" i="1"/>
  <c r="I192" i="1"/>
  <c r="H193" i="1"/>
  <c r="I193" i="1"/>
  <c r="H194" i="1"/>
  <c r="I194" i="1"/>
  <c r="H195" i="1"/>
  <c r="I195" i="1"/>
  <c r="F200" i="1"/>
  <c r="F201" i="1"/>
  <c r="H202" i="1"/>
  <c r="I202" i="1"/>
  <c r="H203" i="1"/>
  <c r="F208" i="1"/>
  <c r="H208" i="1" s="1"/>
  <c r="H211" i="1"/>
  <c r="I211" i="1"/>
  <c r="H213" i="1"/>
  <c r="I213" i="1"/>
  <c r="F216" i="1"/>
  <c r="I216" i="1" s="1"/>
  <c r="H217" i="1"/>
  <c r="I217" i="1"/>
  <c r="H218" i="1"/>
  <c r="I218" i="1"/>
  <c r="H219" i="1"/>
  <c r="I219" i="1"/>
  <c r="F222" i="1"/>
  <c r="I222" i="1" s="1"/>
  <c r="F224" i="1"/>
  <c r="H224" i="1" s="1"/>
  <c r="H227" i="1"/>
  <c r="I227" i="1"/>
  <c r="H228" i="1"/>
  <c r="I228" i="1"/>
  <c r="F229" i="1"/>
  <c r="H229" i="1" s="1"/>
  <c r="H231" i="1"/>
  <c r="I231" i="1"/>
  <c r="H234" i="1"/>
  <c r="I234" i="1"/>
  <c r="F237" i="1"/>
  <c r="F238" i="1"/>
  <c r="F239" i="1"/>
  <c r="F243" i="1" s="1"/>
  <c r="I243" i="1" s="1"/>
  <c r="H245" i="1"/>
  <c r="I245" i="1"/>
  <c r="F248" i="1"/>
  <c r="I248" i="1" s="1"/>
  <c r="H250" i="1"/>
  <c r="I250" i="1"/>
  <c r="H251" i="1"/>
  <c r="I251" i="1"/>
  <c r="F252" i="1"/>
  <c r="F253" i="1" s="1"/>
  <c r="H253" i="1" s="1"/>
  <c r="F255" i="1"/>
  <c r="H255" i="1" s="1"/>
  <c r="F256" i="1"/>
  <c r="I256" i="1" s="1"/>
  <c r="F257" i="1"/>
  <c r="H257" i="1" s="1"/>
  <c r="F258" i="1"/>
  <c r="F259" i="1"/>
  <c r="H259" i="1" s="1"/>
  <c r="H260" i="1"/>
  <c r="I260" i="1"/>
  <c r="H262" i="1"/>
  <c r="I262" i="1"/>
  <c r="F267" i="1"/>
  <c r="F268" i="1"/>
  <c r="F270" i="1"/>
  <c r="F271" i="1"/>
  <c r="F272" i="1"/>
  <c r="F275" i="1"/>
  <c r="F276" i="1"/>
  <c r="F277" i="1"/>
  <c r="F279" i="1"/>
  <c r="H279" i="1" s="1"/>
  <c r="F281" i="1"/>
  <c r="H281" i="1" s="1"/>
  <c r="H283" i="1"/>
  <c r="I283" i="1"/>
  <c r="F287" i="1"/>
  <c r="F288" i="1"/>
  <c r="F289" i="1"/>
  <c r="F290" i="1"/>
  <c r="F292" i="1"/>
  <c r="F293" i="1"/>
  <c r="F294" i="1"/>
  <c r="F295" i="1"/>
  <c r="F296" i="1"/>
  <c r="F299" i="1"/>
  <c r="F300" i="1"/>
  <c r="F301" i="1"/>
  <c r="F304" i="1"/>
  <c r="F305" i="1"/>
  <c r="F306" i="1"/>
  <c r="F307" i="1"/>
  <c r="I307" i="1" s="1"/>
  <c r="H308" i="1"/>
  <c r="H309" i="1"/>
  <c r="I309" i="1"/>
  <c r="F314" i="1"/>
  <c r="F315" i="1"/>
  <c r="F317" i="1"/>
  <c r="F318" i="1"/>
  <c r="F319" i="1"/>
  <c r="F323" i="1"/>
  <c r="H323" i="1" s="1"/>
  <c r="F325" i="1"/>
  <c r="F326" i="1"/>
  <c r="F328" i="1"/>
  <c r="F329" i="1"/>
  <c r="F330" i="1"/>
  <c r="F331" i="1"/>
  <c r="F332" i="1"/>
  <c r="F335" i="1"/>
  <c r="F336" i="1"/>
  <c r="F337" i="1"/>
  <c r="F338" i="1"/>
  <c r="F339" i="1"/>
  <c r="F341" i="1"/>
  <c r="I341" i="1" s="1"/>
  <c r="H342" i="1"/>
  <c r="I342" i="1"/>
  <c r="F346" i="1"/>
  <c r="I346" i="1" s="1"/>
  <c r="F348" i="1"/>
  <c r="I348" i="1" s="1"/>
  <c r="F350" i="1"/>
  <c r="F352" i="1"/>
  <c r="I352" i="1" s="1"/>
  <c r="H354" i="1"/>
  <c r="I354" i="1"/>
  <c r="H356" i="1"/>
  <c r="I356" i="1"/>
  <c r="H357" i="1"/>
  <c r="I357" i="1"/>
  <c r="F358" i="1"/>
  <c r="H358" i="1" s="1"/>
  <c r="F361" i="1"/>
  <c r="I361" i="1" s="1"/>
  <c r="F363" i="1"/>
  <c r="H363" i="1" s="1"/>
  <c r="H365" i="1"/>
  <c r="I365" i="1"/>
  <c r="H367" i="1"/>
  <c r="I367" i="1"/>
  <c r="F370" i="1"/>
  <c r="I370" i="1" s="1"/>
  <c r="F372" i="1"/>
  <c r="H374" i="1"/>
  <c r="I374" i="1"/>
  <c r="H376" i="1"/>
  <c r="I376" i="1"/>
  <c r="F379" i="1"/>
  <c r="H379" i="1" s="1"/>
  <c r="F381" i="1"/>
  <c r="I381" i="1" s="1"/>
  <c r="H383" i="1"/>
  <c r="I383" i="1"/>
  <c r="H385" i="1"/>
  <c r="I385" i="1"/>
  <c r="F388" i="1"/>
  <c r="F389" i="1"/>
  <c r="F390" i="1"/>
  <c r="F391" i="1"/>
  <c r="F392" i="1"/>
  <c r="F394" i="1"/>
  <c r="F395" i="1"/>
  <c r="F396" i="1"/>
  <c r="F397" i="1"/>
  <c r="F398" i="1"/>
  <c r="F405" i="1"/>
  <c r="F406" i="1"/>
  <c r="F407" i="1"/>
  <c r="F408" i="1"/>
  <c r="F409" i="1"/>
  <c r="H411" i="1"/>
  <c r="H413" i="1"/>
  <c r="H414" i="1"/>
  <c r="H415" i="1"/>
  <c r="H416" i="1"/>
  <c r="H418" i="1"/>
  <c r="H419" i="1"/>
  <c r="H420" i="1"/>
  <c r="H421" i="1"/>
  <c r="H422" i="1"/>
  <c r="H423" i="1"/>
  <c r="H425" i="1"/>
  <c r="H426" i="1"/>
  <c r="H427" i="1"/>
  <c r="F431" i="1"/>
  <c r="I431" i="1" s="1"/>
  <c r="F434" i="1"/>
  <c r="F435" i="1"/>
  <c r="F436" i="1"/>
  <c r="I436" i="1" s="1"/>
  <c r="F437" i="1"/>
  <c r="I437" i="1" s="1"/>
  <c r="F439" i="1"/>
  <c r="H439" i="1" s="1"/>
  <c r="F440" i="1"/>
  <c r="I440" i="1" s="1"/>
  <c r="H441" i="1"/>
  <c r="I441" i="1"/>
  <c r="H442" i="1"/>
  <c r="I442" i="1"/>
  <c r="H443" i="1"/>
  <c r="I443" i="1"/>
  <c r="F448" i="1"/>
  <c r="F449" i="1"/>
  <c r="F450" i="1"/>
  <c r="F451" i="1"/>
  <c r="F454" i="1"/>
  <c r="I454" i="1" s="1"/>
  <c r="F455" i="1"/>
  <c r="H457" i="1"/>
  <c r="I457" i="1"/>
  <c r="F458" i="1"/>
  <c r="H458" i="1" s="1"/>
  <c r="H460" i="1"/>
  <c r="I460" i="1"/>
  <c r="H461" i="1"/>
  <c r="H462" i="1"/>
  <c r="F463" i="1"/>
  <c r="I463" i="1" s="1"/>
  <c r="H464" i="1"/>
  <c r="I464" i="1"/>
  <c r="F468" i="1"/>
  <c r="F469" i="1"/>
  <c r="F471" i="1"/>
  <c r="F472" i="1"/>
  <c r="F473" i="1"/>
  <c r="F475" i="1"/>
  <c r="F476" i="1"/>
  <c r="F477" i="1"/>
  <c r="I477" i="1" s="1"/>
  <c r="H478" i="1"/>
  <c r="I478" i="1"/>
  <c r="F483" i="1"/>
  <c r="H487" i="1"/>
  <c r="F493" i="1"/>
  <c r="H494" i="1"/>
  <c r="I494" i="1"/>
  <c r="F496" i="1"/>
  <c r="H496" i="1" s="1"/>
  <c r="F497" i="1"/>
  <c r="H498" i="1"/>
  <c r="I498" i="1"/>
  <c r="F499" i="1"/>
  <c r="H500" i="1"/>
  <c r="F503" i="1"/>
  <c r="I503" i="1" s="1"/>
  <c r="H505" i="1"/>
  <c r="I505" i="1"/>
  <c r="H506" i="1"/>
  <c r="I506" i="1"/>
  <c r="H507" i="1"/>
  <c r="I507" i="1"/>
  <c r="F508" i="1"/>
  <c r="H508" i="1" s="1"/>
  <c r="F513" i="1"/>
  <c r="F514" i="1"/>
  <c r="F515" i="1"/>
  <c r="F516" i="1"/>
  <c r="F517" i="1"/>
  <c r="F518" i="1"/>
  <c r="F519" i="1"/>
  <c r="F520" i="1"/>
  <c r="F522" i="1"/>
  <c r="F523" i="1"/>
  <c r="F524" i="1"/>
  <c r="F525" i="1"/>
  <c r="F526" i="1"/>
  <c r="F527" i="1"/>
  <c r="F528" i="1"/>
  <c r="F529" i="1"/>
  <c r="F531" i="1"/>
  <c r="F532" i="1"/>
  <c r="F533" i="1"/>
  <c r="F534" i="1"/>
  <c r="F535" i="1"/>
  <c r="F536" i="1"/>
  <c r="F537" i="1"/>
  <c r="F538" i="1"/>
  <c r="F540" i="1"/>
  <c r="F541" i="1"/>
  <c r="F542" i="1"/>
  <c r="F543" i="1"/>
  <c r="F544" i="1"/>
  <c r="F545" i="1"/>
  <c r="F546" i="1"/>
  <c r="F547" i="1"/>
  <c r="F548" i="1"/>
  <c r="F549" i="1"/>
  <c r="F550" i="1"/>
  <c r="F509" i="1" s="1"/>
  <c r="I509" i="1" s="1"/>
  <c r="I552" i="1"/>
  <c r="F554" i="1"/>
  <c r="I554" i="1" s="1"/>
  <c r="H555" i="1"/>
  <c r="I555" i="1"/>
  <c r="F558" i="1"/>
  <c r="H558" i="1" s="1"/>
  <c r="F560" i="1"/>
  <c r="I560" i="1" s="1"/>
  <c r="F562" i="1"/>
  <c r="H562" i="1" s="1"/>
  <c r="F567" i="1"/>
  <c r="F566" i="1" s="1"/>
  <c r="F572" i="1"/>
  <c r="F576" i="1"/>
  <c r="F578" i="1"/>
  <c r="F553" i="1" s="1"/>
  <c r="F589" i="1"/>
  <c r="F590" i="1"/>
  <c r="F591" i="1"/>
  <c r="F592" i="1"/>
  <c r="F593" i="1"/>
  <c r="F595" i="1"/>
  <c r="F596" i="1"/>
  <c r="F597" i="1"/>
  <c r="F598" i="1"/>
  <c r="F599" i="1"/>
  <c r="F601" i="1"/>
  <c r="I601" i="1" s="1"/>
  <c r="F602" i="1"/>
  <c r="I602" i="1" s="1"/>
  <c r="F603" i="1"/>
  <c r="I603" i="1" s="1"/>
  <c r="H604" i="1"/>
  <c r="I604" i="1"/>
  <c r="F607" i="1"/>
  <c r="I607" i="1" s="1"/>
  <c r="F609" i="1"/>
  <c r="H609" i="1" s="1"/>
  <c r="F611" i="1"/>
  <c r="F612" i="1"/>
  <c r="H612" i="1" s="1"/>
  <c r="F613" i="1"/>
  <c r="I613" i="1" s="1"/>
  <c r="H614" i="1"/>
  <c r="I614" i="1"/>
  <c r="F619" i="1"/>
  <c r="F620" i="1"/>
  <c r="F621" i="1"/>
  <c r="F622" i="1"/>
  <c r="F623" i="1"/>
  <c r="F626" i="1" s="1"/>
  <c r="F625" i="1"/>
  <c r="H625" i="1" s="1"/>
  <c r="F628" i="1"/>
  <c r="F629" i="1"/>
  <c r="H629" i="1" s="1"/>
  <c r="F630" i="1"/>
  <c r="F632" i="1"/>
  <c r="H632" i="1" s="1"/>
  <c r="F633" i="1"/>
  <c r="H633" i="1" s="1"/>
  <c r="F634" i="1"/>
  <c r="H634" i="1" s="1"/>
  <c r="F636" i="1"/>
  <c r="H636" i="1" s="1"/>
  <c r="H638" i="1"/>
  <c r="H639" i="1"/>
  <c r="H640" i="1"/>
  <c r="H641" i="1"/>
  <c r="F642" i="1"/>
  <c r="F643" i="1"/>
  <c r="F644" i="1"/>
  <c r="H645" i="1"/>
  <c r="H646" i="1"/>
  <c r="H647" i="1"/>
  <c r="H648" i="1"/>
  <c r="F649" i="1"/>
  <c r="H649" i="1" s="1"/>
  <c r="H650" i="1"/>
  <c r="F653" i="1"/>
  <c r="F654" i="1"/>
  <c r="F655" i="1"/>
  <c r="F656" i="1"/>
  <c r="F658" i="1"/>
  <c r="H658" i="1" s="1"/>
  <c r="F659" i="1"/>
  <c r="H659" i="1" s="1"/>
  <c r="H660" i="1"/>
  <c r="F661" i="1"/>
  <c r="H662" i="1"/>
  <c r="F663" i="1"/>
  <c r="H663" i="1" s="1"/>
  <c r="F664" i="1"/>
  <c r="H665" i="1"/>
  <c r="F666" i="1"/>
  <c r="H667" i="1"/>
  <c r="F668" i="1"/>
  <c r="H669" i="1"/>
  <c r="H670" i="1"/>
  <c r="F671" i="1"/>
  <c r="H671" i="1" s="1"/>
  <c r="F672" i="1"/>
  <c r="H672" i="1" s="1"/>
  <c r="F677" i="1"/>
  <c r="H677" i="1" s="1"/>
  <c r="F678" i="1"/>
  <c r="H678" i="1" s="1"/>
  <c r="H680" i="1"/>
  <c r="F681" i="1"/>
  <c r="H681" i="1" s="1"/>
  <c r="H682" i="1"/>
  <c r="F683" i="1"/>
  <c r="H684" i="1"/>
  <c r="F685" i="1"/>
  <c r="F687" i="1"/>
  <c r="H687" i="1" s="1"/>
  <c r="F688" i="1"/>
  <c r="H688" i="1" s="1"/>
  <c r="F689" i="1"/>
  <c r="H689" i="1" s="1"/>
  <c r="F691" i="1"/>
  <c r="H691" i="1" s="1"/>
  <c r="H692" i="1"/>
  <c r="H693" i="1"/>
  <c r="H694" i="1"/>
  <c r="H159" i="9"/>
  <c r="H155" i="1"/>
  <c r="H811" i="1"/>
  <c r="F812" i="1"/>
  <c r="I812" i="1" s="1"/>
  <c r="H810" i="1"/>
  <c r="I808" i="1"/>
  <c r="F809" i="1"/>
  <c r="H809" i="1" s="1"/>
  <c r="H808" i="1"/>
  <c r="H118" i="1"/>
  <c r="I683" i="3" l="1"/>
  <c r="H683" i="3"/>
  <c r="I374" i="3"/>
  <c r="H374" i="3"/>
  <c r="H771" i="3"/>
  <c r="I751" i="3"/>
  <c r="H749" i="3"/>
  <c r="F725" i="3"/>
  <c r="F717" i="3" s="1"/>
  <c r="H717" i="3" s="1"/>
  <c r="H691" i="3"/>
  <c r="H615" i="3"/>
  <c r="I564" i="3"/>
  <c r="I397" i="3"/>
  <c r="F263" i="3"/>
  <c r="H253" i="3"/>
  <c r="I191" i="3"/>
  <c r="H116" i="3"/>
  <c r="H79" i="3"/>
  <c r="F646" i="3"/>
  <c r="F609" i="3" s="1"/>
  <c r="H53" i="3"/>
  <c r="H51" i="3" s="1"/>
  <c r="H18" i="3" s="1"/>
  <c r="H750" i="3"/>
  <c r="F747" i="3"/>
  <c r="I690" i="3"/>
  <c r="F666" i="3"/>
  <c r="I544" i="3"/>
  <c r="F536" i="3"/>
  <c r="F364" i="3"/>
  <c r="F368" i="3" s="1"/>
  <c r="I321" i="3"/>
  <c r="F312" i="3"/>
  <c r="I250" i="3"/>
  <c r="H222" i="3"/>
  <c r="I186" i="3"/>
  <c r="I91" i="3"/>
  <c r="I89" i="3"/>
  <c r="G15" i="14"/>
  <c r="H29" i="1" s="1"/>
  <c r="H774" i="3"/>
  <c r="H769" i="3"/>
  <c r="F752" i="3"/>
  <c r="I749" i="3"/>
  <c r="F704" i="3"/>
  <c r="F686" i="3" s="1"/>
  <c r="F636" i="3"/>
  <c r="H629" i="3"/>
  <c r="I539" i="3"/>
  <c r="I450" i="3"/>
  <c r="H447" i="3"/>
  <c r="H432" i="3"/>
  <c r="I420" i="3"/>
  <c r="F387" i="3"/>
  <c r="H387" i="3" s="1"/>
  <c r="I291" i="3"/>
  <c r="F254" i="3"/>
  <c r="I243" i="3"/>
  <c r="H210" i="3"/>
  <c r="H186" i="3"/>
  <c r="H103" i="3"/>
  <c r="G15" i="11"/>
  <c r="H31" i="1" s="1"/>
  <c r="G15" i="10"/>
  <c r="H30" i="1" s="1"/>
  <c r="H85" i="9"/>
  <c r="F77" i="9"/>
  <c r="H77" i="9" s="1"/>
  <c r="F152" i="9"/>
  <c r="H152" i="9" s="1"/>
  <c r="H151" i="9"/>
  <c r="H149" i="9"/>
  <c r="H76" i="9"/>
  <c r="H113" i="9"/>
  <c r="F104" i="9"/>
  <c r="H126" i="12"/>
  <c r="H129" i="12"/>
  <c r="H44" i="12"/>
  <c r="H15" i="12" s="1"/>
  <c r="H94" i="12"/>
  <c r="H18" i="12" s="1"/>
  <c r="H35" i="1" s="1"/>
  <c r="H130" i="12"/>
  <c r="H20" i="12" s="1"/>
  <c r="H37" i="1" s="1"/>
  <c r="F730" i="1"/>
  <c r="H730" i="1" s="1"/>
  <c r="H726" i="1"/>
  <c r="F233" i="1"/>
  <c r="I233" i="1" s="1"/>
  <c r="H802" i="1"/>
  <c r="H216" i="1"/>
  <c r="I724" i="1"/>
  <c r="H129" i="1"/>
  <c r="H750" i="1"/>
  <c r="H80" i="1"/>
  <c r="F96" i="1"/>
  <c r="H96" i="1" s="1"/>
  <c r="F190" i="1"/>
  <c r="I190" i="1" s="1"/>
  <c r="H554" i="1"/>
  <c r="F559" i="1"/>
  <c r="I559" i="1" s="1"/>
  <c r="H150" i="1"/>
  <c r="F353" i="1"/>
  <c r="I353" i="1" s="1"/>
  <c r="F170" i="1"/>
  <c r="I170" i="1" s="1"/>
  <c r="H661" i="1"/>
  <c r="F571" i="1"/>
  <c r="F556" i="1" s="1"/>
  <c r="H556" i="1" s="1"/>
  <c r="H352" i="1"/>
  <c r="H167" i="1"/>
  <c r="F725" i="1"/>
  <c r="I725" i="1" s="1"/>
  <c r="F757" i="1"/>
  <c r="I757" i="1" s="1"/>
  <c r="I255" i="1"/>
  <c r="H454" i="1"/>
  <c r="I379" i="1"/>
  <c r="I229" i="1"/>
  <c r="H644" i="1"/>
  <c r="F433" i="1"/>
  <c r="I433" i="1" s="1"/>
  <c r="F766" i="1"/>
  <c r="F776" i="1" s="1"/>
  <c r="H166" i="1"/>
  <c r="H761" i="1"/>
  <c r="H239" i="1"/>
  <c r="F242" i="1"/>
  <c r="I242" i="1" s="1"/>
  <c r="I358" i="1"/>
  <c r="I253" i="1"/>
  <c r="H341" i="1"/>
  <c r="F474" i="1"/>
  <c r="I474" i="1" s="1"/>
  <c r="H79" i="1"/>
  <c r="I157" i="1"/>
  <c r="H256" i="1"/>
  <c r="I239" i="1"/>
  <c r="F241" i="1"/>
  <c r="H241" i="1" s="1"/>
  <c r="H436" i="1"/>
  <c r="H252" i="1"/>
  <c r="I496" i="1"/>
  <c r="I558" i="1"/>
  <c r="F605" i="1"/>
  <c r="H605" i="1" s="1"/>
  <c r="F702" i="1"/>
  <c r="H702" i="1" s="1"/>
  <c r="F700" i="1"/>
  <c r="I700" i="1" s="1"/>
  <c r="F698" i="1"/>
  <c r="I698" i="1" s="1"/>
  <c r="F68" i="1"/>
  <c r="H68" i="1" s="1"/>
  <c r="F701" i="1"/>
  <c r="H701" i="1" s="1"/>
  <c r="H668" i="1"/>
  <c r="F244" i="1"/>
  <c r="H244" i="1" s="1"/>
  <c r="H348" i="1"/>
  <c r="H243" i="1"/>
  <c r="I164" i="1"/>
  <c r="H111" i="1"/>
  <c r="H509" i="1"/>
  <c r="H370" i="1"/>
  <c r="I612" i="1"/>
  <c r="F697" i="1"/>
  <c r="H697" i="1" s="1"/>
  <c r="F736" i="1"/>
  <c r="F741" i="1" s="1"/>
  <c r="F742" i="1" s="1"/>
  <c r="H748" i="1"/>
  <c r="I458" i="1"/>
  <c r="I259" i="1"/>
  <c r="F627" i="1"/>
  <c r="H627" i="1" s="1"/>
  <c r="F699" i="1"/>
  <c r="I699" i="1" s="1"/>
  <c r="I87" i="1"/>
  <c r="I759" i="1"/>
  <c r="H346" i="1"/>
  <c r="H642" i="1"/>
  <c r="F225" i="1"/>
  <c r="H225" i="1" s="1"/>
  <c r="I224" i="1"/>
  <c r="H477" i="1"/>
  <c r="H560" i="1"/>
  <c r="F232" i="1"/>
  <c r="I323" i="1"/>
  <c r="F561" i="1"/>
  <c r="H561" i="1" s="1"/>
  <c r="H758" i="1"/>
  <c r="H440" i="1"/>
  <c r="H643" i="1"/>
  <c r="H437" i="1"/>
  <c r="H110" i="1"/>
  <c r="H623" i="1"/>
  <c r="F714" i="1"/>
  <c r="F324" i="1"/>
  <c r="I729" i="1"/>
  <c r="F119" i="1"/>
  <c r="H119" i="1" s="1"/>
  <c r="I756" i="1"/>
  <c r="H628" i="1"/>
  <c r="H603" i="1"/>
  <c r="H248" i="1"/>
  <c r="H630" i="1"/>
  <c r="F266" i="1"/>
  <c r="H266" i="1" s="1"/>
  <c r="F199" i="1"/>
  <c r="H199" i="1" s="1"/>
  <c r="I562" i="1"/>
  <c r="F587" i="1"/>
  <c r="F581" i="1" s="1"/>
  <c r="H581" i="1" s="1"/>
  <c r="I257" i="1"/>
  <c r="F539" i="1"/>
  <c r="H128" i="1"/>
  <c r="H696" i="1"/>
  <c r="I281" i="1"/>
  <c r="H184" i="1"/>
  <c r="H800" i="1"/>
  <c r="I105" i="1"/>
  <c r="H683" i="1"/>
  <c r="H602" i="1"/>
  <c r="H222" i="1"/>
  <c r="F303" i="1"/>
  <c r="I303" i="1" s="1"/>
  <c r="H763" i="1"/>
  <c r="H72" i="1"/>
  <c r="F73" i="1"/>
  <c r="H73" i="1" s="1"/>
  <c r="I791" i="1"/>
  <c r="H791" i="1"/>
  <c r="I363" i="1"/>
  <c r="I189" i="1"/>
  <c r="H71" i="1"/>
  <c r="F608" i="1"/>
  <c r="I252" i="1"/>
  <c r="H622" i="1"/>
  <c r="I508" i="1"/>
  <c r="F467" i="1"/>
  <c r="H467" i="1" s="1"/>
  <c r="F236" i="1"/>
  <c r="I236" i="1" s="1"/>
  <c r="F210" i="1"/>
  <c r="H210" i="1" s="1"/>
  <c r="H107" i="1"/>
  <c r="F787" i="1"/>
  <c r="H787" i="1" s="1"/>
  <c r="F786" i="1"/>
  <c r="H786" i="1" s="1"/>
  <c r="H666" i="1"/>
  <c r="H621" i="1"/>
  <c r="F393" i="1"/>
  <c r="F399" i="1" s="1"/>
  <c r="F401" i="1" s="1"/>
  <c r="H401" i="1" s="1"/>
  <c r="F594" i="1"/>
  <c r="F582" i="1" s="1"/>
  <c r="F583" i="1" s="1"/>
  <c r="H431" i="1"/>
  <c r="H94" i="1"/>
  <c r="F214" i="1"/>
  <c r="F215" i="1" s="1"/>
  <c r="F95" i="1"/>
  <c r="I95" i="1" s="1"/>
  <c r="H601" i="1"/>
  <c r="I279" i="1"/>
  <c r="H307" i="1"/>
  <c r="H463" i="1"/>
  <c r="F172" i="1"/>
  <c r="I60" i="1"/>
  <c r="I799" i="1"/>
  <c r="H100" i="1"/>
  <c r="I208" i="1"/>
  <c r="F470" i="1"/>
  <c r="F485" i="1" s="1"/>
  <c r="F481" i="1" s="1"/>
  <c r="H481" i="1" s="1"/>
  <c r="F387" i="1"/>
  <c r="F403" i="1" s="1"/>
  <c r="H728" i="1"/>
  <c r="F366" i="1"/>
  <c r="H366" i="1" s="1"/>
  <c r="F784" i="1"/>
  <c r="H626" i="1"/>
  <c r="F789" i="1"/>
  <c r="H789" i="1" s="1"/>
  <c r="F512" i="1"/>
  <c r="F491" i="1" s="1"/>
  <c r="H491" i="1" s="1"/>
  <c r="F404" i="1"/>
  <c r="I404" i="1" s="1"/>
  <c r="H361" i="1"/>
  <c r="H613" i="1"/>
  <c r="H499" i="1"/>
  <c r="F334" i="1"/>
  <c r="I334" i="1" s="1"/>
  <c r="F313" i="1"/>
  <c r="H313" i="1" s="1"/>
  <c r="H620" i="1"/>
  <c r="F298" i="1"/>
  <c r="F521" i="1"/>
  <c r="F492" i="1" s="1"/>
  <c r="H492" i="1" s="1"/>
  <c r="H812" i="1"/>
  <c r="H664" i="1"/>
  <c r="H619" i="1"/>
  <c r="F291" i="1"/>
  <c r="H291" i="1" s="1"/>
  <c r="H607" i="1"/>
  <c r="F327" i="1"/>
  <c r="I327" i="1" s="1"/>
  <c r="H609" i="3"/>
  <c r="I609" i="3"/>
  <c r="H273" i="3"/>
  <c r="I273" i="3"/>
  <c r="I553" i="1"/>
  <c r="H553" i="1"/>
  <c r="I686" i="3"/>
  <c r="F687" i="3"/>
  <c r="H686" i="3"/>
  <c r="F608" i="3"/>
  <c r="F621" i="3"/>
  <c r="F719" i="3"/>
  <c r="H718" i="3"/>
  <c r="I718" i="3"/>
  <c r="I290" i="3"/>
  <c r="H290" i="3"/>
  <c r="F375" i="1"/>
  <c r="H372" i="1"/>
  <c r="F286" i="1"/>
  <c r="I158" i="1"/>
  <c r="I165" i="1" s="1"/>
  <c r="H158" i="1"/>
  <c r="H543" i="3"/>
  <c r="I543" i="3"/>
  <c r="I176" i="3"/>
  <c r="I183" i="3" s="1"/>
  <c r="F183" i="3"/>
  <c r="H183" i="3" s="1"/>
  <c r="H493" i="1"/>
  <c r="I493" i="1"/>
  <c r="I455" i="1"/>
  <c r="H455" i="1"/>
  <c r="F316" i="1"/>
  <c r="H328" i="3"/>
  <c r="I328" i="3"/>
  <c r="H281" i="3"/>
  <c r="I281" i="3"/>
  <c r="H267" i="3"/>
  <c r="I267" i="3"/>
  <c r="I240" i="3"/>
  <c r="F241" i="3"/>
  <c r="F60" i="3"/>
  <c r="H60" i="3" s="1"/>
  <c r="H58" i="3"/>
  <c r="H745" i="1"/>
  <c r="F652" i="1"/>
  <c r="H652" i="1" s="1"/>
  <c r="H62" i="1"/>
  <c r="H60" i="1" s="1"/>
  <c r="H20" i="1" s="1"/>
  <c r="H814" i="3"/>
  <c r="H754" i="3"/>
  <c r="I580" i="3"/>
  <c r="F456" i="3"/>
  <c r="F333" i="3"/>
  <c r="I312" i="3"/>
  <c r="F316" i="3"/>
  <c r="H254" i="3"/>
  <c r="I254" i="3"/>
  <c r="H90" i="3"/>
  <c r="I90" i="3"/>
  <c r="I65" i="3"/>
  <c r="H65" i="3"/>
  <c r="I762" i="1"/>
  <c r="H77" i="12"/>
  <c r="H17" i="12" s="1"/>
  <c r="H34" i="1" s="1"/>
  <c r="I609" i="1"/>
  <c r="F610" i="1"/>
  <c r="I809" i="1"/>
  <c r="I801" i="1" s="1"/>
  <c r="F559" i="3"/>
  <c r="H540" i="3"/>
  <c r="H685" i="1"/>
  <c r="H497" i="1"/>
  <c r="I497" i="1"/>
  <c r="H576" i="3"/>
  <c r="I576" i="3"/>
  <c r="F426" i="3"/>
  <c r="I423" i="3"/>
  <c r="H403" i="3"/>
  <c r="I403" i="3"/>
  <c r="I364" i="3"/>
  <c r="F311" i="3"/>
  <c r="H307" i="3"/>
  <c r="F287" i="3"/>
  <c r="I286" i="3"/>
  <c r="F99" i="3"/>
  <c r="H98" i="3"/>
  <c r="I98" i="3"/>
  <c r="F100" i="3"/>
  <c r="I704" i="1"/>
  <c r="H704" i="1"/>
  <c r="F624" i="3"/>
  <c r="H623" i="3"/>
  <c r="I623" i="3"/>
  <c r="I372" i="1"/>
  <c r="I89" i="1"/>
  <c r="I753" i="3"/>
  <c r="H753" i="3"/>
  <c r="H688" i="3"/>
  <c r="I688" i="3"/>
  <c r="F689" i="3"/>
  <c r="F656" i="3"/>
  <c r="F612" i="3" s="1"/>
  <c r="H364" i="3"/>
  <c r="H312" i="3"/>
  <c r="H262" i="3"/>
  <c r="I262" i="3"/>
  <c r="I350" i="1"/>
  <c r="H350" i="1"/>
  <c r="F274" i="1"/>
  <c r="H580" i="3"/>
  <c r="H294" i="3"/>
  <c r="I294" i="3"/>
  <c r="F165" i="1"/>
  <c r="H165" i="1" s="1"/>
  <c r="F530" i="1"/>
  <c r="F495" i="1" s="1"/>
  <c r="H503" i="1"/>
  <c r="F504" i="1"/>
  <c r="F269" i="1"/>
  <c r="H811" i="3"/>
  <c r="F800" i="3"/>
  <c r="H800" i="3" s="1"/>
  <c r="H764" i="3"/>
  <c r="F748" i="3"/>
  <c r="H747" i="3"/>
  <c r="I747" i="3"/>
  <c r="F553" i="3"/>
  <c r="H409" i="3"/>
  <c r="H171" i="3"/>
  <c r="I171" i="3"/>
  <c r="I137" i="3"/>
  <c r="H66" i="12"/>
  <c r="H16" i="12" s="1"/>
  <c r="H33" i="1" s="1"/>
  <c r="F154" i="1"/>
  <c r="F274" i="3"/>
  <c r="F275" i="3"/>
  <c r="H271" i="3"/>
  <c r="I439" i="1"/>
  <c r="F452" i="1"/>
  <c r="F446" i="1" s="1"/>
  <c r="F384" i="1"/>
  <c r="H381" i="1"/>
  <c r="H611" i="1"/>
  <c r="I611" i="1"/>
  <c r="I258" i="1"/>
  <c r="H258" i="1"/>
  <c r="I717" i="3"/>
  <c r="I416" i="3"/>
  <c r="H416" i="3"/>
  <c r="I387" i="3"/>
  <c r="F370" i="3"/>
  <c r="I271" i="3"/>
  <c r="I233" i="3"/>
  <c r="F235" i="3"/>
  <c r="H117" i="3"/>
  <c r="I117" i="3"/>
  <c r="F585" i="3"/>
  <c r="H318" i="3"/>
  <c r="I318" i="3"/>
  <c r="H111" i="3"/>
  <c r="I111" i="3"/>
  <c r="I104" i="1"/>
  <c r="H104" i="1"/>
  <c r="H755" i="3"/>
  <c r="I631" i="3"/>
  <c r="H610" i="3"/>
  <c r="I610" i="3"/>
  <c r="F477" i="3"/>
  <c r="F464" i="3"/>
  <c r="H438" i="3"/>
  <c r="H405" i="3"/>
  <c r="I405" i="3"/>
  <c r="F378" i="3"/>
  <c r="H360" i="3"/>
  <c r="F341" i="3"/>
  <c r="F303" i="3"/>
  <c r="I763" i="1"/>
  <c r="I200" i="3"/>
  <c r="I136" i="3"/>
  <c r="H136" i="3"/>
  <c r="H613" i="3"/>
  <c r="I613" i="3"/>
  <c r="F592" i="3"/>
  <c r="H592" i="3" s="1"/>
  <c r="F347" i="3"/>
  <c r="H200" i="3"/>
  <c r="H20" i="3" s="1"/>
  <c r="F170" i="3"/>
  <c r="H745" i="3"/>
  <c r="H747" i="1"/>
  <c r="H368" i="3" l="1"/>
  <c r="I368" i="3"/>
  <c r="H760" i="3"/>
  <c r="H27" i="3" s="1"/>
  <c r="H752" i="3"/>
  <c r="I752" i="3"/>
  <c r="I536" i="3"/>
  <c r="H536" i="3"/>
  <c r="H263" i="3"/>
  <c r="I263" i="3"/>
  <c r="F79" i="9"/>
  <c r="H79" i="9" s="1"/>
  <c r="F78" i="9"/>
  <c r="H78" i="9" s="1"/>
  <c r="F106" i="9"/>
  <c r="H106" i="9" s="1"/>
  <c r="F105" i="9"/>
  <c r="H105" i="9" s="1"/>
  <c r="H104" i="9"/>
  <c r="H112" i="12"/>
  <c r="H19" i="12" s="1"/>
  <c r="H36" i="1" s="1"/>
  <c r="H32" i="1"/>
  <c r="H233" i="1"/>
  <c r="I730" i="1"/>
  <c r="I96" i="1"/>
  <c r="I65" i="1" s="1"/>
  <c r="H190" i="1"/>
  <c r="H559" i="1"/>
  <c r="F557" i="1"/>
  <c r="I557" i="1" s="1"/>
  <c r="H170" i="1"/>
  <c r="H757" i="1"/>
  <c r="F770" i="1"/>
  <c r="H770" i="1" s="1"/>
  <c r="H433" i="1"/>
  <c r="H725" i="1"/>
  <c r="H474" i="1"/>
  <c r="H242" i="1"/>
  <c r="H353" i="1"/>
  <c r="I556" i="1"/>
  <c r="I241" i="1"/>
  <c r="I701" i="1"/>
  <c r="F402" i="1"/>
  <c r="H402" i="1" s="1"/>
  <c r="I467" i="1"/>
  <c r="H698" i="1"/>
  <c r="I605" i="1"/>
  <c r="H700" i="1"/>
  <c r="F703" i="1"/>
  <c r="I703" i="1" s="1"/>
  <c r="I702" i="1"/>
  <c r="F606" i="1"/>
  <c r="H606" i="1" s="1"/>
  <c r="I399" i="1"/>
  <c r="I266" i="1"/>
  <c r="I244" i="1"/>
  <c r="H95" i="1"/>
  <c r="H65" i="1" s="1"/>
  <c r="H399" i="1"/>
  <c r="I401" i="1"/>
  <c r="H699" i="1"/>
  <c r="H303" i="1"/>
  <c r="I697" i="1"/>
  <c r="I225" i="1"/>
  <c r="I741" i="1"/>
  <c r="H404" i="1"/>
  <c r="H741" i="1"/>
  <c r="H393" i="1"/>
  <c r="I393" i="1"/>
  <c r="I199" i="1"/>
  <c r="I581" i="1"/>
  <c r="F790" i="1"/>
  <c r="I790" i="1" s="1"/>
  <c r="F732" i="1"/>
  <c r="F733" i="1"/>
  <c r="H232" i="1"/>
  <c r="I232" i="1"/>
  <c r="I210" i="1"/>
  <c r="F731" i="1"/>
  <c r="I731" i="1" s="1"/>
  <c r="H236" i="1"/>
  <c r="F297" i="1"/>
  <c r="I297" i="1" s="1"/>
  <c r="I313" i="1"/>
  <c r="I561" i="1"/>
  <c r="F400" i="1"/>
  <c r="H400" i="1" s="1"/>
  <c r="I470" i="1"/>
  <c r="H470" i="1"/>
  <c r="H334" i="1"/>
  <c r="I789" i="1"/>
  <c r="H324" i="1"/>
  <c r="I324" i="1"/>
  <c r="H582" i="1"/>
  <c r="I582" i="1"/>
  <c r="I387" i="1"/>
  <c r="H387" i="1"/>
  <c r="H403" i="1"/>
  <c r="I403" i="1"/>
  <c r="I366" i="1"/>
  <c r="I291" i="1"/>
  <c r="I491" i="1"/>
  <c r="I172" i="1"/>
  <c r="H172" i="1"/>
  <c r="I214" i="1"/>
  <c r="H214" i="1"/>
  <c r="F502" i="1"/>
  <c r="H502" i="1" s="1"/>
  <c r="F788" i="1"/>
  <c r="I787" i="1"/>
  <c r="I608" i="1"/>
  <c r="H608" i="1"/>
  <c r="H784" i="1"/>
  <c r="I784" i="1"/>
  <c r="I786" i="1"/>
  <c r="F743" i="1"/>
  <c r="I742" i="1"/>
  <c r="H742" i="1"/>
  <c r="F333" i="1"/>
  <c r="H333" i="1" s="1"/>
  <c r="H327" i="1"/>
  <c r="H298" i="1"/>
  <c r="I298" i="1"/>
  <c r="F302" i="1"/>
  <c r="I492" i="1"/>
  <c r="H170" i="3"/>
  <c r="I170" i="3"/>
  <c r="I123" i="3" s="1"/>
  <c r="H347" i="3"/>
  <c r="I347" i="3"/>
  <c r="F470" i="3"/>
  <c r="H464" i="3"/>
  <c r="I464" i="3"/>
  <c r="F453" i="1"/>
  <c r="H446" i="1"/>
  <c r="I446" i="1"/>
  <c r="I624" i="3"/>
  <c r="H624" i="3"/>
  <c r="I303" i="3"/>
  <c r="H303" i="3"/>
  <c r="H477" i="3"/>
  <c r="I477" i="3"/>
  <c r="H235" i="3"/>
  <c r="I235" i="3"/>
  <c r="I776" i="1"/>
  <c r="H776" i="1"/>
  <c r="H426" i="3"/>
  <c r="I426" i="3"/>
  <c r="I333" i="3"/>
  <c r="H333" i="3"/>
  <c r="F339" i="3"/>
  <c r="I286" i="1"/>
  <c r="H286" i="1"/>
  <c r="I719" i="3"/>
  <c r="H719" i="3"/>
  <c r="H215" i="1"/>
  <c r="I215" i="1"/>
  <c r="I99" i="3"/>
  <c r="H99" i="3"/>
  <c r="H341" i="3"/>
  <c r="I341" i="3"/>
  <c r="F345" i="3"/>
  <c r="I287" i="3"/>
  <c r="H287" i="3"/>
  <c r="H456" i="3"/>
  <c r="I456" i="3"/>
  <c r="F475" i="3"/>
  <c r="I269" i="1"/>
  <c r="H269" i="1"/>
  <c r="F273" i="1"/>
  <c r="I375" i="1"/>
  <c r="H375" i="1"/>
  <c r="H583" i="1"/>
  <c r="I583" i="1"/>
  <c r="H123" i="3"/>
  <c r="F385" i="3"/>
  <c r="H378" i="3"/>
  <c r="I378" i="3"/>
  <c r="H585" i="3"/>
  <c r="I585" i="3"/>
  <c r="F589" i="3" s="1"/>
  <c r="H589" i="3" s="1"/>
  <c r="H370" i="3"/>
  <c r="I370" i="3"/>
  <c r="F371" i="3"/>
  <c r="F276" i="3"/>
  <c r="H275" i="3"/>
  <c r="I275" i="3"/>
  <c r="F560" i="3"/>
  <c r="H553" i="3"/>
  <c r="I553" i="3"/>
  <c r="H504" i="1"/>
  <c r="I504" i="1"/>
  <c r="H311" i="3"/>
  <c r="I311" i="3"/>
  <c r="H621" i="3"/>
  <c r="I621" i="3"/>
  <c r="H274" i="3"/>
  <c r="I274" i="3"/>
  <c r="I100" i="3"/>
  <c r="I56" i="3" s="1"/>
  <c r="H100" i="3"/>
  <c r="H610" i="1"/>
  <c r="I610" i="1"/>
  <c r="H241" i="3"/>
  <c r="I241" i="3"/>
  <c r="F321" i="1"/>
  <c r="F320" i="1"/>
  <c r="I316" i="1"/>
  <c r="H316" i="1"/>
  <c r="H608" i="3"/>
  <c r="I608" i="3"/>
  <c r="H384" i="1"/>
  <c r="I384" i="1"/>
  <c r="I495" i="1"/>
  <c r="H495" i="1"/>
  <c r="H612" i="3"/>
  <c r="I612" i="3"/>
  <c r="I400" i="3"/>
  <c r="I154" i="1"/>
  <c r="H154" i="1"/>
  <c r="I274" i="1"/>
  <c r="F278" i="1"/>
  <c r="H274" i="1"/>
  <c r="I748" i="3"/>
  <c r="H748" i="3"/>
  <c r="H689" i="3"/>
  <c r="I689" i="3"/>
  <c r="H400" i="3"/>
  <c r="H23" i="3" s="1"/>
  <c r="I316" i="3"/>
  <c r="H316" i="3"/>
  <c r="H687" i="3"/>
  <c r="I687" i="3"/>
  <c r="H56" i="3" l="1"/>
  <c r="H19" i="3" s="1"/>
  <c r="H38" i="9"/>
  <c r="H16" i="9" s="1"/>
  <c r="H28" i="1" s="1"/>
  <c r="H22" i="12"/>
  <c r="F773" i="1"/>
  <c r="H773" i="1" s="1"/>
  <c r="I770" i="1"/>
  <c r="H557" i="1"/>
  <c r="H488" i="1" s="1"/>
  <c r="H24" i="1" s="1"/>
  <c r="I402" i="1"/>
  <c r="F771" i="1"/>
  <c r="F772" i="1" s="1"/>
  <c r="F479" i="1"/>
  <c r="H479" i="1" s="1"/>
  <c r="H703" i="1"/>
  <c r="H616" i="1" s="1"/>
  <c r="H25" i="1" s="1"/>
  <c r="I606" i="1"/>
  <c r="I502" i="1"/>
  <c r="H297" i="1"/>
  <c r="I400" i="1"/>
  <c r="I116" i="1"/>
  <c r="I64" i="1" s="1"/>
  <c r="H790" i="1"/>
  <c r="H116" i="1"/>
  <c r="H64" i="1" s="1"/>
  <c r="H21" i="1" s="1"/>
  <c r="H731" i="1"/>
  <c r="H733" i="1"/>
  <c r="I733" i="1"/>
  <c r="I732" i="1"/>
  <c r="H732" i="1"/>
  <c r="I333" i="1"/>
  <c r="I743" i="1"/>
  <c r="H743" i="1"/>
  <c r="H788" i="1"/>
  <c r="I788" i="1"/>
  <c r="H302" i="1"/>
  <c r="I302" i="1"/>
  <c r="H321" i="1"/>
  <c r="I321" i="1"/>
  <c r="F322" i="1"/>
  <c r="I475" i="3"/>
  <c r="H475" i="3"/>
  <c r="F472" i="3"/>
  <c r="I470" i="3"/>
  <c r="F471" i="3"/>
  <c r="F473" i="3"/>
  <c r="H470" i="3"/>
  <c r="I604" i="3"/>
  <c r="H560" i="3"/>
  <c r="I560" i="3"/>
  <c r="F573" i="3" s="1"/>
  <c r="H273" i="1"/>
  <c r="I273" i="1"/>
  <c r="I339" i="3"/>
  <c r="H339" i="3"/>
  <c r="H604" i="3"/>
  <c r="H26" i="3" s="1"/>
  <c r="H345" i="3"/>
  <c r="I345" i="3"/>
  <c r="H453" i="1"/>
  <c r="I453" i="1"/>
  <c r="I428" i="1" s="1"/>
  <c r="I276" i="3"/>
  <c r="H276" i="3"/>
  <c r="H219" i="3" s="1"/>
  <c r="H21" i="3" s="1"/>
  <c r="I385" i="3"/>
  <c r="H385" i="3"/>
  <c r="I219" i="3"/>
  <c r="H278" i="1"/>
  <c r="I278" i="1"/>
  <c r="I320" i="1"/>
  <c r="H320" i="1"/>
  <c r="H371" i="3"/>
  <c r="I371" i="3"/>
  <c r="H300" i="3" l="1"/>
  <c r="H22" i="3" s="1"/>
  <c r="I300" i="3"/>
  <c r="I773" i="1"/>
  <c r="I771" i="1"/>
  <c r="I488" i="1"/>
  <c r="H771" i="1"/>
  <c r="F774" i="1"/>
  <c r="F775" i="1" s="1"/>
  <c r="F465" i="1"/>
  <c r="H465" i="1" s="1"/>
  <c r="H428" i="1" s="1"/>
  <c r="H23" i="1" s="1"/>
  <c r="H573" i="3"/>
  <c r="H531" i="3" s="1"/>
  <c r="H25" i="3" s="1"/>
  <c r="I572" i="3"/>
  <c r="I531" i="3" s="1"/>
  <c r="H322" i="1"/>
  <c r="H174" i="1" s="1"/>
  <c r="H22" i="1" s="1"/>
  <c r="I322" i="1"/>
  <c r="I174" i="1" s="1"/>
  <c r="H473" i="3"/>
  <c r="I473" i="3"/>
  <c r="H471" i="3"/>
  <c r="I471" i="3"/>
  <c r="I455" i="3" s="1"/>
  <c r="I772" i="1"/>
  <c r="H772" i="1"/>
  <c r="I472" i="3"/>
  <c r="H472" i="3"/>
  <c r="H455" i="3" l="1"/>
  <c r="H24" i="3" s="1"/>
  <c r="H40" i="3" s="1"/>
  <c r="I774" i="1"/>
  <c r="H774" i="1"/>
  <c r="H775" i="1"/>
  <c r="I775" i="1"/>
  <c r="I706" i="1" l="1"/>
  <c r="F821" i="1" s="1"/>
  <c r="H821" i="1" s="1"/>
  <c r="H801" i="1" s="1"/>
  <c r="H27" i="1" s="1"/>
  <c r="H706" i="1"/>
  <c r="H26" i="1" s="1"/>
  <c r="H42" i="3"/>
  <c r="H43" i="3" s="1"/>
  <c r="H39" i="1" l="1"/>
  <c r="F32" i="20" s="1"/>
  <c r="F33" i="20" s="1"/>
  <c r="F34" i="20" s="1"/>
  <c r="F35" i="20" s="1"/>
  <c r="F36" i="20" s="1"/>
</calcChain>
</file>

<file path=xl/sharedStrings.xml><?xml version="1.0" encoding="utf-8"?>
<sst xmlns="http://schemas.openxmlformats.org/spreadsheetml/2006/main" count="5799" uniqueCount="2685">
  <si>
    <t>Zemní práce</t>
  </si>
  <si>
    <t>hod</t>
  </si>
  <si>
    <t>bm</t>
  </si>
  <si>
    <t>Demontáž výsadby trvalek 7ks/m2, včetně přesazení na určené místo a rozvojové péče po dobu výstavby kaple,  včetně uložení zeminy bez zhutnění z hrubým rozhrnutím, dodání ornice (tl. 15 cm), úprava terénu s rozpojením , přehrnutím a urovnáním,  hloubení jamek bez výměny půdy do 2-5L v rovině, výsadba květin hrnkovaných, prům květináče do 120mm, dodání dlouhodobě působícího hnojiva (ref Silvamix), hnojení minerálním hnojivem 10g/ks k vysazovaným rostlinám  v rovině,   výměra: 108m2</t>
  </si>
  <si>
    <t>m2</t>
  </si>
  <si>
    <t>Zpětná výsadba trvalek 7ks/m2 na původní místo, včetně uložení zeminy bez zhutnění z hrubým rozhrnutím, dodání ornice (tl. 15 cm), úprava terénu s rozpojením , přehrnutím a urovnáním,  hloubení jamek bez výměny půdy do 2-5L v rovině, výsadba květin hrnkovaných, prům květináče do 120mm, dodání dlouhodobě působícího hnojiva (ref Silvamix), hnojení minerálním hnojivem 10g/ks k vysazovaným rostlinám  v rovině , výměra: 108m2</t>
  </si>
  <si>
    <t xml:space="preserve">Rozvojová péče o výsadbu trvalek 2 roky, Chemické odplevelení po založení kultury smáčením v rovině, zalití ploch vodou, plochy přes 20 m2
</t>
  </si>
  <si>
    <t>ks</t>
  </si>
  <si>
    <t>m3</t>
  </si>
  <si>
    <t>?</t>
  </si>
  <si>
    <t>t</t>
  </si>
  <si>
    <t xml:space="preserve">Drcená láva ŠD tl. 350mm, </t>
  </si>
  <si>
    <t>výměra: 0,09m2*3,22bm+0,06m2*4,41bm*7ks</t>
  </si>
  <si>
    <t>výměra: 0,25m2*2*4,41bm</t>
  </si>
  <si>
    <t>výměra: 10,60bm+5,60bm+35,65bm</t>
  </si>
  <si>
    <t>m</t>
  </si>
  <si>
    <t>Drenáž</t>
  </si>
  <si>
    <t>Vsakovací objekt</t>
  </si>
  <si>
    <t>Zásyp štěrkem se zhutněním, výměra: cca 3,14m2*v. 1,20</t>
  </si>
  <si>
    <t>Nasávací objekt, podrobnosti viz. výkres D.1.12.1.22</t>
  </si>
  <si>
    <t>skladba vzt 1
Ochranná geotextilie       2 mm
Hydroizolace - PVC-P fólie se zabudovaným skleněným  
rounem, svařená, na koncích stažená páskami  4 mm
Tepelná izolace - čedičová vata stažená strunami  100 mm
Potrubí KG DN 400 400 mm, část podzemního  KG potrubí ve spádu 16,7%
Tepelná izolace - čedičová vata stažená strunami  100 mm
Hydroizolace - PVC-P fólie se zabudovaným skleněným 
   rounem, svařená, na koncích stažená páskami  4 mm
Ochranná geotextilie       2 mm
Štěrkopískový podsyp zhutněný, tl. 150 mm</t>
  </si>
  <si>
    <t>Ochranná geotextilie, tl.  2 mm, výměra: cca obvod 2,10m*7,2m</t>
  </si>
  <si>
    <t>Hydroizolace - PVC-P fólie se zabudovaným skleněným  rounem, svařená, na koncích stažená páskami  tl. 4 mm, výměra: cca obvod 2,10m*7,2m</t>
  </si>
  <si>
    <t>Tepelná izolace - čedičová vata stažená strunami  tl. 100 mm, výměra: cca obvod 2,10m*7,2m</t>
  </si>
  <si>
    <t>Potrubí KG DN400, část podzemního  KG potrubí ve spádu 16,7%</t>
  </si>
  <si>
    <t>Koleno KG  DN400, 67°</t>
  </si>
  <si>
    <t>Štěrkopískový podsyp zhutněný,  tl. 150 mm, výměra: cca 0,80m*7,2m*0,15</t>
  </si>
  <si>
    <t>Hydroizolace - fólie PVC-P svařená a přitížená zeminou, kolem obetonování šachty, výměra: 3,14*1,00*0,75</t>
  </si>
  <si>
    <t>Kačírek frakce 16/32 tl. 100 mm do vzdálenosti 400 mm od nasávacího objektu, výměra: obvod 5,40m*š. 0,40m*v. 0,10m</t>
  </si>
  <si>
    <t>HZS4222</t>
  </si>
  <si>
    <t>Geodetické zaměření</t>
  </si>
  <si>
    <t>Realizační dokumentace</t>
  </si>
  <si>
    <t>Dokumentace skutečného provedení stavby</t>
  </si>
  <si>
    <t>Štěrkodrť  ŠD A 0-45mm, tl. 100mm, ČSN 73 6126-1,2</t>
  </si>
  <si>
    <t>Štěrkodrť  ŠD B 0-63mm, tl. 130mm, ČSN 73 6126-1,2</t>
  </si>
  <si>
    <t>119004111/P</t>
  </si>
  <si>
    <t>113106111
591411111</t>
  </si>
  <si>
    <t>113106022
591111111</t>
  </si>
  <si>
    <t xml:space="preserve">ROZPOČET - návrh </t>
  </si>
  <si>
    <r>
      <t xml:space="preserve">stavební část </t>
    </r>
    <r>
      <rPr>
        <sz val="10"/>
        <color indexed="10"/>
        <rFont val="Arial"/>
        <family val="2"/>
        <charset val="238"/>
      </rPr>
      <t>CÚ 2022/I</t>
    </r>
  </si>
  <si>
    <t>na akci :</t>
  </si>
  <si>
    <t>NÁMĚSTÍ BĚCHOVICE - KAPLE 
s VYHLÍDKOU</t>
  </si>
  <si>
    <t>stupeň projektu: - DSJ</t>
  </si>
  <si>
    <t>místo stavby :</t>
  </si>
  <si>
    <t>190 11 Praha - Běchovice</t>
  </si>
  <si>
    <t>stavebník :</t>
  </si>
  <si>
    <r>
      <t xml:space="preserve">Městská část Praha - Běchovice
</t>
    </r>
    <r>
      <rPr>
        <sz val="9"/>
        <rFont val="Arial"/>
        <family val="2"/>
        <charset val="238"/>
      </rPr>
      <t>Českobrodská 3, 190 11, Praha-Běchovice</t>
    </r>
  </si>
  <si>
    <t>Rekapitulace nákladů</t>
  </si>
  <si>
    <t>Kč</t>
  </si>
  <si>
    <t xml:space="preserve"> stavební náklady  bez DPH 21%</t>
  </si>
  <si>
    <t>DPH 21%</t>
  </si>
  <si>
    <r>
      <t xml:space="preserve">náklady celkem </t>
    </r>
    <r>
      <rPr>
        <sz val="10"/>
        <rFont val="Arial"/>
        <family val="2"/>
        <charset val="238"/>
      </rPr>
      <t>včetně</t>
    </r>
    <r>
      <rPr>
        <b/>
        <sz val="10"/>
        <rFont val="Arial"/>
        <family val="2"/>
        <charset val="238"/>
      </rPr>
      <t xml:space="preserve"> DPH 21%</t>
    </r>
  </si>
  <si>
    <t>p.č.</t>
  </si>
  <si>
    <t>popis prací a dodávek</t>
  </si>
  <si>
    <t xml:space="preserve">Přípravné práce </t>
  </si>
  <si>
    <t xml:space="preserve">Statika - základy </t>
  </si>
  <si>
    <t>Statika - schodiště</t>
  </si>
  <si>
    <t>pol.</t>
  </si>
  <si>
    <t>ozn.</t>
  </si>
  <si>
    <t xml:space="preserve">Kč </t>
  </si>
  <si>
    <t>celkem</t>
  </si>
  <si>
    <t>P ř í p r a v n é  práce</t>
  </si>
  <si>
    <t>Z e m n í  práce</t>
  </si>
  <si>
    <t>mj</t>
  </si>
  <si>
    <t>počet   mj</t>
  </si>
  <si>
    <t>jednotková cena</t>
  </si>
  <si>
    <t>celková cena v  Kč</t>
  </si>
  <si>
    <t xml:space="preserve">Plánovací cena D+M </t>
  </si>
  <si>
    <r>
      <rPr>
        <b/>
        <sz val="10"/>
        <rFont val="Arial"/>
        <family val="2"/>
        <charset val="238"/>
      </rPr>
      <t xml:space="preserve"> - Vyhledání</t>
    </r>
    <r>
      <rPr>
        <sz val="10"/>
        <rFont val="Arial"/>
        <family val="2"/>
        <charset val="238"/>
      </rPr>
      <t xml:space="preserve">  </t>
    </r>
    <r>
      <rPr>
        <sz val="10"/>
        <color indexed="10"/>
        <rFont val="Arial"/>
        <family val="2"/>
        <charset val="238"/>
      </rPr>
      <t>detektorem</t>
    </r>
    <r>
      <rPr>
        <sz val="10"/>
        <rFont val="Arial"/>
        <family val="2"/>
        <charset val="238"/>
      </rPr>
      <t xml:space="preserve"> a vytyčení stávajících inženýrských sítí (např. el.kabelů a kabelových tratí  silno a slaboproudých, potrubí vody a kanalizace) ve spolupráci správců sítí. </t>
    </r>
  </si>
  <si>
    <r>
      <rPr>
        <b/>
        <sz val="10"/>
        <rFont val="Arial"/>
        <family val="2"/>
        <charset val="238"/>
      </rPr>
      <t xml:space="preserve"> - Dočasné zajištění potrubí</t>
    </r>
    <r>
      <rPr>
        <sz val="10"/>
        <rFont val="Arial"/>
        <family val="2"/>
        <charset val="238"/>
      </rPr>
      <t xml:space="preserve"> betonového, ŽB nebo kameninového DN do 500 mm (18,5)bm</t>
    </r>
  </si>
  <si>
    <r>
      <rPr>
        <b/>
        <sz val="10"/>
        <rFont val="Arial"/>
        <family val="2"/>
        <charset val="238"/>
      </rPr>
      <t xml:space="preserve"> - Dočasné zajištění - </t>
    </r>
    <r>
      <rPr>
        <sz val="10"/>
        <rFont val="Arial"/>
        <family val="2"/>
        <charset val="238"/>
      </rPr>
      <t xml:space="preserve"> stávajících inženýrských sítí během výkopových prací, </t>
    </r>
    <r>
      <rPr>
        <sz val="10"/>
        <color indexed="10"/>
        <rFont val="Arial"/>
        <family val="2"/>
        <charset val="238"/>
      </rPr>
      <t>podél výkopových prací</t>
    </r>
    <r>
      <rPr>
        <sz val="10"/>
        <rFont val="Arial"/>
        <family val="2"/>
        <charset val="238"/>
      </rPr>
      <t>, kompletní provedení, výměra cca: (18,5)m*28ks+15m*8ks . 
Nutno zajistit před prováděním zemních prací.</t>
    </r>
  </si>
  <si>
    <t>skládka</t>
  </si>
  <si>
    <r>
      <t xml:space="preserve">kamenivo přírodní těžené pro stavební účely  PTK  (drobné, hrubé, štěrkopísky) štěrkopísky ČSN 72  1511-2 frakce   0-32 ;
 </t>
    </r>
    <r>
      <rPr>
        <b/>
        <i/>
        <sz val="10"/>
        <rFont val="Arial"/>
        <family val="2"/>
        <charset val="238"/>
      </rPr>
      <t xml:space="preserve">výměra: </t>
    </r>
    <r>
      <rPr>
        <i/>
        <sz val="10"/>
        <rFont val="Arial"/>
        <family val="2"/>
        <charset val="238"/>
      </rPr>
      <t>288,82-98,0m3=191,79m3 *2,054t</t>
    </r>
  </si>
  <si>
    <t xml:space="preserve">171111111/P </t>
  </si>
  <si>
    <r>
      <t xml:space="preserve"> - Hloubení jam nezapažených </t>
    </r>
    <r>
      <rPr>
        <sz val="10"/>
        <rFont val="Arial"/>
        <family val="2"/>
        <charset val="238"/>
      </rPr>
      <t>včetně zpevněného sjezdu v hornině třídy těžitelnosti I, skupiny 3 objem do 500 m3 strojně</t>
    </r>
    <r>
      <rPr>
        <b/>
        <sz val="10"/>
        <rFont val="Arial"/>
        <family val="2"/>
        <charset val="238"/>
      </rPr>
      <t>, (</t>
    </r>
    <r>
      <rPr>
        <sz val="10"/>
        <rFont val="Arial"/>
        <family val="2"/>
        <charset val="238"/>
      </rPr>
      <t>původní terén -1,60)</t>
    </r>
    <r>
      <rPr>
        <b/>
        <sz val="10"/>
        <rFont val="Arial"/>
        <family val="2"/>
        <charset val="238"/>
      </rPr>
      <t xml:space="preserve">
výměra :</t>
    </r>
    <r>
      <rPr>
        <sz val="10"/>
        <rFont val="Arial"/>
        <family val="2"/>
        <charset val="238"/>
      </rPr>
      <t xml:space="preserve"> (kopáno ve štěrkopísku fr. 0-32mm) ; 
výměra: 165m2*v.2,11m +117m2*v. 0,90m</t>
    </r>
  </si>
  <si>
    <r>
      <rPr>
        <b/>
        <sz val="10"/>
        <rFont val="Arial"/>
        <family val="2"/>
        <charset val="238"/>
      </rPr>
      <t xml:space="preserve"> - Zásyp</t>
    </r>
    <r>
      <rPr>
        <sz val="10"/>
        <rFont val="Arial"/>
        <family val="2"/>
        <charset val="238"/>
      </rPr>
      <t xml:space="preserve"> v uzavřených prostorech sypaninou se zhutněním z materiálu ze souvrství pod zpevněnými plochami  ;  </t>
    </r>
    <r>
      <rPr>
        <b/>
        <sz val="10"/>
        <rFont val="Arial"/>
        <family val="2"/>
        <charset val="238"/>
      </rPr>
      <t xml:space="preserve">výměra </t>
    </r>
    <r>
      <rPr>
        <sz val="10"/>
        <rFont val="Arial"/>
        <family val="2"/>
        <charset val="238"/>
      </rPr>
      <t>: 453m3 odpočet 74,9m2* v. 1,30m</t>
    </r>
  </si>
  <si>
    <r>
      <rPr>
        <b/>
        <sz val="10"/>
        <color indexed="8"/>
        <rFont val="Arial"/>
        <family val="2"/>
        <charset val="238"/>
      </rPr>
      <t xml:space="preserve"> - Mezideponie štěrkopísku</t>
    </r>
    <r>
      <rPr>
        <sz val="10"/>
        <color indexed="8"/>
        <rFont val="Arial"/>
        <family val="2"/>
        <charset val="238"/>
      </rPr>
      <t xml:space="preserve"> do 10000m, odvoz vytěženého štěrkopísku fr. 0-32mm na mezideponii a zpět do zásypů; výměra : 453m3 +356m3 (</t>
    </r>
    <r>
      <rPr>
        <b/>
        <sz val="10"/>
        <color indexed="8"/>
        <rFont val="Arial"/>
        <family val="2"/>
        <charset val="238"/>
      </rPr>
      <t>zůstatek</t>
    </r>
    <r>
      <rPr>
        <sz val="10"/>
        <color indexed="8"/>
        <rFont val="Arial"/>
        <family val="2"/>
        <charset val="238"/>
      </rPr>
      <t xml:space="preserve"> na meziskládce </t>
    </r>
    <r>
      <rPr>
        <b/>
        <sz val="10"/>
        <color indexed="8"/>
        <rFont val="Arial"/>
        <family val="2"/>
        <charset val="238"/>
      </rPr>
      <t>98,0m3</t>
    </r>
    <r>
      <rPr>
        <sz val="10"/>
        <color indexed="8"/>
        <rFont val="Arial"/>
        <family val="2"/>
        <charset val="238"/>
      </rPr>
      <t xml:space="preserve">) </t>
    </r>
  </si>
  <si>
    <r>
      <t xml:space="preserve"> - Hloubení jam nezapažených </t>
    </r>
    <r>
      <rPr>
        <sz val="10"/>
        <rFont val="Arial"/>
        <family val="2"/>
        <charset val="238"/>
      </rPr>
      <t xml:space="preserve">včetně zpevněného sjezdu v hornině třídy těžitelnosti I, skupiny 3 objem do 500 m3 strojně ( ; </t>
    </r>
    <r>
      <rPr>
        <b/>
        <sz val="10"/>
        <rFont val="Arial"/>
        <family val="2"/>
        <charset val="238"/>
      </rPr>
      <t>výměra :</t>
    </r>
    <r>
      <rPr>
        <sz val="10"/>
        <rFont val="Arial"/>
        <family val="2"/>
        <charset val="238"/>
      </rPr>
      <t>kopáno v původní navážce (-3,810 až -4,060 ),  výměra: 150m2*v. 1,50m+110m2*v. 1,50</t>
    </r>
  </si>
  <si>
    <r>
      <rPr>
        <b/>
        <sz val="10"/>
        <color indexed="8"/>
        <rFont val="Arial"/>
        <family val="2"/>
        <charset val="238"/>
      </rPr>
      <t xml:space="preserve"> - Zásyp  štěrkopísku</t>
    </r>
    <r>
      <rPr>
        <sz val="10"/>
        <color indexed="8"/>
        <rFont val="Arial"/>
        <family val="2"/>
        <charset val="238"/>
      </rPr>
      <t xml:space="preserve"> fr. 0-32m v místě vytěžené původní zeminy -navážka,  hutněno po v. 200mm, s rozprostřením,vlhčením a zhutněním ; výměra: 150m2*v. 1,50m+110m2*v. 1,50 - odpočet v.1,35*74,95m2</t>
    </r>
  </si>
  <si>
    <r>
      <rPr>
        <b/>
        <sz val="10"/>
        <rFont val="Arial"/>
        <family val="2"/>
        <charset val="238"/>
      </rPr>
      <t xml:space="preserve"> - Štěrkopísek frakce 0-32</t>
    </r>
    <r>
      <rPr>
        <sz val="10"/>
        <rFont val="Arial"/>
        <family val="2"/>
        <charset val="238"/>
      </rPr>
      <t xml:space="preserve"> - dodávka- nákup jen 288,82m3-97,0m3</t>
    </r>
  </si>
  <si>
    <r>
      <rPr>
        <b/>
        <sz val="10"/>
        <color indexed="8"/>
        <rFont val="Arial"/>
        <family val="2"/>
        <charset val="238"/>
      </rPr>
      <t xml:space="preserve"> - Mezideponie štěrkopísku</t>
    </r>
    <r>
      <rPr>
        <sz val="10"/>
        <color indexed="8"/>
        <rFont val="Arial"/>
        <family val="2"/>
        <charset val="238"/>
      </rPr>
      <t xml:space="preserve"> do 10000m, odvoz vytěženého štěrkopísku fr. 0-32mm zpět z  mezideponie do zásypů; výměra :(  97,0m3 z meziskládky)</t>
    </r>
  </si>
  <si>
    <r>
      <t xml:space="preserve"> - Zhutnění podloží </t>
    </r>
    <r>
      <rPr>
        <sz val="10"/>
        <rFont val="Arial"/>
        <family val="2"/>
        <charset val="238"/>
      </rPr>
      <t>po odtěžení zeminy  z rostlé horniny třídy těžitelnosti I a II, skupiny 1až4 z hornin soudržných a nesoudržných na min.45MPa/m2 viz IGP</t>
    </r>
  </si>
  <si>
    <r>
      <rPr>
        <b/>
        <sz val="10"/>
        <color indexed="8"/>
        <rFont val="Arial"/>
        <family val="2"/>
        <charset val="238"/>
      </rPr>
      <t xml:space="preserve">Zemina </t>
    </r>
    <r>
      <rPr>
        <sz val="10"/>
        <color indexed="8"/>
        <rFont val="Arial"/>
        <family val="2"/>
        <charset val="238"/>
      </rPr>
      <t>pro terénní úprav</t>
    </r>
    <r>
      <rPr>
        <b/>
        <sz val="10"/>
        <color indexed="8"/>
        <rFont val="Arial"/>
        <family val="2"/>
        <charset val="238"/>
      </rPr>
      <t xml:space="preserve">y </t>
    </r>
    <r>
      <rPr>
        <sz val="10"/>
        <color indexed="8"/>
        <rFont val="Arial"/>
        <family val="2"/>
        <charset val="238"/>
      </rPr>
      <t>vhodná do zásypů pod skladby,  hutnění po cca 200mm výšky dle IGP  na min.45MPa/m2 ; výměra : 6,70m2*33,9bm</t>
    </r>
  </si>
  <si>
    <r>
      <rPr>
        <b/>
        <sz val="10"/>
        <color indexed="8"/>
        <rFont val="Arial"/>
        <family val="2"/>
        <charset val="238"/>
      </rPr>
      <t>Hutnění</t>
    </r>
    <r>
      <rPr>
        <sz val="10"/>
        <color indexed="8"/>
        <rFont val="Arial"/>
        <family val="2"/>
        <charset val="238"/>
      </rPr>
      <t xml:space="preserve"> podkladu pro terénní úpravy </t>
    </r>
  </si>
  <si>
    <t>212751109/P</t>
  </si>
  <si>
    <r>
      <t xml:space="preserve"> - </t>
    </r>
    <r>
      <rPr>
        <b/>
        <sz val="10"/>
        <color indexed="8"/>
        <rFont val="Arial"/>
        <family val="2"/>
        <charset val="238"/>
      </rPr>
      <t xml:space="preserve">Drenážní potrubí </t>
    </r>
    <r>
      <rPr>
        <sz val="10"/>
        <color indexed="8"/>
        <rFont val="Arial"/>
        <family val="2"/>
        <charset val="238"/>
      </rPr>
      <t>z trubek flexibilních  PVC DN 100 mm + lože a obsyp štěrkopískem; výměra : 0,25m2*(36,80+1,00+6,3*2)</t>
    </r>
  </si>
  <si>
    <r>
      <rPr>
        <b/>
        <sz val="10"/>
        <color indexed="17"/>
        <rFont val="Arial"/>
        <family val="2"/>
        <charset val="238"/>
      </rPr>
      <t>Geotextilie pro ochranu</t>
    </r>
    <r>
      <rPr>
        <sz val="10"/>
        <color indexed="17"/>
        <rFont val="Arial"/>
        <family val="2"/>
        <charset val="238"/>
      </rPr>
      <t>, separaci a filtraci netkaná měrná hm do 200 g/m2; výměra : 0,50*(36,80+1,00+6,3*2)</t>
    </r>
  </si>
  <si>
    <t>Plánovací cena D+M</t>
  </si>
  <si>
    <r>
      <rPr>
        <b/>
        <sz val="10"/>
        <color indexed="17"/>
        <rFont val="Arial"/>
        <family val="2"/>
        <charset val="238"/>
      </rPr>
      <t>Napojení drenážního potrubí</t>
    </r>
    <r>
      <rPr>
        <sz val="10"/>
        <color indexed="17"/>
        <rFont val="Arial"/>
        <family val="2"/>
        <charset val="238"/>
      </rPr>
      <t xml:space="preserve"> do vsakovacího objektu</t>
    </r>
  </si>
  <si>
    <r>
      <t xml:space="preserve"> - Vodorovné přemístění do 10000m výkopku</t>
    </r>
    <r>
      <rPr>
        <sz val="10"/>
        <rFont val="Arial"/>
        <family val="2"/>
        <charset val="238"/>
      </rPr>
      <t>/sypaniny z</t>
    </r>
    <r>
      <rPr>
        <b/>
        <sz val="10"/>
        <rFont val="Arial"/>
        <family val="2"/>
        <charset val="238"/>
      </rPr>
      <t xml:space="preserve"> </t>
    </r>
    <r>
      <rPr>
        <sz val="10"/>
        <rFont val="Arial"/>
        <family val="2"/>
        <charset val="238"/>
      </rPr>
      <t>horniny třídy těžitelnosti II,skupiny 4+5 (beton+navážka)</t>
    </r>
    <r>
      <rPr>
        <b/>
        <sz val="10"/>
        <rFont val="Arial"/>
        <family val="2"/>
        <charset val="238"/>
      </rPr>
      <t xml:space="preserve"> </t>
    </r>
  </si>
  <si>
    <r>
      <t xml:space="preserve"> - Příplatek k vodorovnému přemístění výkopku( beton) /sypaniny </t>
    </r>
    <r>
      <rPr>
        <sz val="10"/>
        <rFont val="Arial"/>
        <family val="2"/>
        <charset val="238"/>
      </rPr>
      <t>z horniny třídy těžitelnosti II, skupiny 4 a 5 ZKD 1000 m přes 10000 m (50km x …..Kč/1000m)=Kč celkem</t>
    </r>
  </si>
  <si>
    <r>
      <t xml:space="preserve"> - Poplatek </t>
    </r>
    <r>
      <rPr>
        <sz val="10"/>
        <rFont val="Arial"/>
        <family val="2"/>
        <charset val="238"/>
      </rPr>
      <t>za uložení stavebního odpadu na recyklační skládce(skládkovné)       za /navážku=popel,cihly,prkénka,dráty/ bez obsahu dehtu zatříděného do Katalogu odpadů pod kódem 17 01 04</t>
    </r>
    <r>
      <rPr>
        <b/>
        <sz val="10"/>
        <rFont val="Arial"/>
        <family val="2"/>
        <charset val="238"/>
      </rPr>
      <t>; výměra : navážka - 390m3</t>
    </r>
  </si>
  <si>
    <r>
      <t xml:space="preserve"> - Bezpečný</t>
    </r>
    <r>
      <rPr>
        <sz val="10"/>
        <rFont val="Arial"/>
        <family val="2"/>
        <charset val="238"/>
      </rPr>
      <t xml:space="preserve"> vstup nebo výstup</t>
    </r>
    <r>
      <rPr>
        <b/>
        <sz val="10"/>
        <rFont val="Arial"/>
        <family val="2"/>
        <charset val="238"/>
      </rPr>
      <t xml:space="preserve"> </t>
    </r>
    <r>
      <rPr>
        <sz val="10"/>
        <rFont val="Arial"/>
        <family val="2"/>
        <charset val="238"/>
      </rPr>
      <t>z výkopu pomocí žebříku zřízení cca v. 3,40m</t>
    </r>
  </si>
  <si>
    <t>poznámka :</t>
  </si>
  <si>
    <t>Napojení drenážního potrubí do vsakovacího objektu ∅ 2m, s.h. -5,000
vysypání štěrkem+ po obvodu geotextilie.
Nejvhodnější konkrétní řešení odvodnění základové spáry bude navrženo autorizovaným inženýrem pro vodohospodářské stavby na základě parametrů zjištěných hydrodynamickou zkouškou na stavbě.</t>
  </si>
  <si>
    <r>
      <rPr>
        <b/>
        <sz val="10"/>
        <color indexed="8"/>
        <rFont val="Arial"/>
        <family val="2"/>
        <charset val="238"/>
      </rPr>
      <t xml:space="preserve">Výkop v navážce </t>
    </r>
    <r>
      <rPr>
        <sz val="10"/>
        <color indexed="8"/>
        <rFont val="Arial"/>
        <family val="2"/>
        <charset val="238"/>
      </rPr>
      <t>pro vsakovací objekt od úrovně -3,810 na úroveň - 5,000, výměra: cca 3,14m2*1,20</t>
    </r>
  </si>
  <si>
    <t>Vsakovací objekt ∅ 2m, s.h. -5,000</t>
  </si>
  <si>
    <t>štěrkopísek netříděný (pevný stav 2,7t/m3), výměra : 3,768m3*2,7t</t>
  </si>
  <si>
    <t>Geotextilie po obvodu vsakovacího objektu , výměra: cca 6,3*1,20+3,14m2</t>
  </si>
  <si>
    <r>
      <t>poznámka :</t>
    </r>
    <r>
      <rPr>
        <sz val="10"/>
        <color indexed="8"/>
        <rFont val="Arial"/>
        <family val="2"/>
        <charset val="238"/>
      </rPr>
      <t xml:space="preserve"> upřesní se dle realizační dokumentace</t>
    </r>
  </si>
  <si>
    <t xml:space="preserve">Těsnící vložka "hydroizolační" pro průnik potrubí KG DN 400 v místě prostupu  želbet stěnou </t>
  </si>
  <si>
    <t>Napojení potrubí DN 400 -1ks + DN 50 1ks skrz žlb. konstrukci do šachtového dna, Napojení hydroizolací, vodotěsné napojení pomocí  manžet, vodotěsný prostup žlb konstrukcí, vodotěsný prostup do šachtového dna průtočného přes žlb kci</t>
  </si>
  <si>
    <t>viz část dokumentace VZT</t>
  </si>
  <si>
    <t>Nadzemní vzt hlavice válcového tvaru 
s protidešťovou hlavicí po celém obvodu,
vnější ∅560 (připojovací potrubí dn400)
vyrobeno z pozinkovaného plechu
povrchová úprava s finální barevností
ral 7016 antracitová šedá matná, uvedeno v části dokumentace VZT</t>
  </si>
  <si>
    <t>Šachtové dno průtočné plastové pro průměr DN 400mm, průměr h.h. 720mm, zaslepení šachty víkem</t>
  </si>
  <si>
    <t>Betonový základ - beton C16/20 + bednění - zřízení+odbednění, výměra: 3,14*0,46*0,46*0,90</t>
  </si>
  <si>
    <t>637121111/P</t>
  </si>
  <si>
    <t>Jak to nazveme část možného provedení</t>
  </si>
  <si>
    <t>Skladba S 6 - (k dalšímu použití)</t>
  </si>
  <si>
    <t>Rozebrání části skladby - S 6 + zpětná montáž ;  výměra 52,95m2</t>
  </si>
  <si>
    <t xml:space="preserve"> Dlažba kamenná mozaika DL tl. 60mm + Štěrkodrť ložná ŠD 2-8mm, tl. 30mm, ČSN 73 6126-1,2</t>
  </si>
  <si>
    <t>113107162
564251011</t>
  </si>
  <si>
    <r>
      <rPr>
        <b/>
        <sz val="10"/>
        <color indexed="30"/>
        <rFont val="Arial"/>
        <family val="2"/>
        <charset val="238"/>
      </rPr>
      <t>Odstranění podkladu strojně</t>
    </r>
    <r>
      <rPr>
        <sz val="10"/>
        <color indexed="30"/>
        <rFont val="Arial"/>
        <family val="2"/>
        <charset val="238"/>
      </rPr>
      <t xml:space="preserve"> tl.do 200mm+ zpětná montáž - 
Štěrkodrť ŠD A 0-45mm, tl. 150mm, ČSN 73 6126-1,2 ;</t>
    </r>
    <r>
      <rPr>
        <b/>
        <sz val="10"/>
        <color indexed="30"/>
        <rFont val="Arial"/>
        <family val="2"/>
        <charset val="238"/>
      </rPr>
      <t xml:space="preserve"> výměra : 52,95m2</t>
    </r>
  </si>
  <si>
    <r>
      <rPr>
        <b/>
        <sz val="10"/>
        <color indexed="17"/>
        <rFont val="Arial"/>
        <family val="2"/>
        <charset val="238"/>
      </rPr>
      <t>Odstranění</t>
    </r>
    <r>
      <rPr>
        <sz val="10"/>
        <color indexed="17"/>
        <rFont val="Arial"/>
        <family val="2"/>
        <charset val="238"/>
      </rPr>
      <t xml:space="preserve"> Geotextilie včetně likvidace ; výměra : 52,95m2</t>
    </r>
  </si>
  <si>
    <r>
      <t xml:space="preserve">Dodávka + montáž;  </t>
    </r>
    <r>
      <rPr>
        <b/>
        <sz val="10"/>
        <color indexed="17"/>
        <rFont val="Arial"/>
        <family val="2"/>
        <charset val="238"/>
      </rPr>
      <t>geotextilie tkaná</t>
    </r>
    <r>
      <rPr>
        <sz val="10"/>
        <color indexed="17"/>
        <rFont val="Arial"/>
        <family val="2"/>
        <charset val="238"/>
      </rPr>
      <t xml:space="preserve"> separační, filtrační, výztužná PP pevnost v tahu 80kN/m</t>
    </r>
  </si>
  <si>
    <t>Skladba S 5 - (k dalšímu použití)</t>
  </si>
  <si>
    <r>
      <t xml:space="preserve">Rozebrání části skladby S 5  + </t>
    </r>
    <r>
      <rPr>
        <sz val="10"/>
        <color indexed="17"/>
        <rFont val="Arial"/>
        <family val="2"/>
        <charset val="238"/>
      </rPr>
      <t>zpětná montáž ; výměra 40,50</t>
    </r>
    <r>
      <rPr>
        <sz val="8"/>
        <color indexed="17"/>
        <rFont val="Arial"/>
        <family val="2"/>
        <charset val="238"/>
      </rPr>
      <t>m2</t>
    </r>
  </si>
  <si>
    <t xml:space="preserve"> - Dlažba kamenná DL tl. 120mm, ČSN 73 6131+ Štěrkodrť ložná ŠD 2-8mm,
tl. 40mm, ČSN 73 6126-1,2</t>
  </si>
  <si>
    <t>113107163
564251019</t>
  </si>
  <si>
    <r>
      <t>Odstranění podkladu strojně tl.</t>
    </r>
    <r>
      <rPr>
        <sz val="10"/>
        <color indexed="30"/>
        <rFont val="Arial"/>
        <family val="2"/>
        <charset val="238"/>
      </rPr>
      <t xml:space="preserve"> do 300mm+zpětná montáž </t>
    </r>
  </si>
  <si>
    <t>69311008/D+M</t>
  </si>
  <si>
    <r>
      <rPr>
        <b/>
        <sz val="10"/>
        <color indexed="17"/>
        <rFont val="Arial"/>
        <family val="2"/>
        <charset val="238"/>
      </rPr>
      <t>Odstranění</t>
    </r>
    <r>
      <rPr>
        <sz val="10"/>
        <color indexed="17"/>
        <rFont val="Arial"/>
        <family val="2"/>
        <charset val="238"/>
      </rPr>
      <t xml:space="preserve"> Geotextilie včetně likvidace ; výměra : 40,50m2</t>
    </r>
  </si>
  <si>
    <t>Skladba S 5 A - (k dalšímu použití)</t>
  </si>
  <si>
    <r>
      <t>Rozebrání části skladby S 5 A</t>
    </r>
    <r>
      <rPr>
        <sz val="10"/>
        <color indexed="17"/>
        <rFont val="Arial"/>
        <family val="2"/>
        <charset val="238"/>
      </rPr>
      <t xml:space="preserve"> +zpětná montáž ;výměra 20,90m2</t>
    </r>
  </si>
  <si>
    <t>Dlažba kamenná DL tl. 80mm, ČSN 73 6131 + Štěrkodrť ložná ŠD 2-8mm, 
tl. 40mm, ČSN 73 6126-1,2</t>
  </si>
  <si>
    <t>Rozebrání skladby S 9 (k dalšímu použití)</t>
  </si>
  <si>
    <t>113106061
591111111</t>
  </si>
  <si>
    <r>
      <t xml:space="preserve">Rozebrání části skladby S 9 </t>
    </r>
    <r>
      <rPr>
        <sz val="10"/>
        <color indexed="17"/>
        <rFont val="Arial"/>
        <family val="2"/>
        <charset val="238"/>
      </rPr>
      <t>+ zpětná montáž ; výměra 43,40m2</t>
    </r>
  </si>
  <si>
    <t>Kamenné odseky DL 80-150mm, ČSN 73 6131 + Štěrkodrť ložná ŠD 2-8mm,   tl. 100-30 mm, ČSN 73 6126-1,2</t>
  </si>
  <si>
    <r>
      <t>Odstranění podkladu strojně tl.</t>
    </r>
    <r>
      <rPr>
        <sz val="10"/>
        <color indexed="30"/>
        <rFont val="Arial"/>
        <family val="2"/>
        <charset val="238"/>
      </rPr>
      <t xml:space="preserve"> do 350mm+zpětná montáž </t>
    </r>
  </si>
  <si>
    <r>
      <rPr>
        <b/>
        <sz val="10"/>
        <rFont val="Arial"/>
        <family val="2"/>
        <charset val="238"/>
      </rPr>
      <t>Očištění dlažebních kostek mozaikových</t>
    </r>
    <r>
      <rPr>
        <sz val="10"/>
        <rFont val="Arial"/>
        <family val="2"/>
        <charset val="238"/>
      </rPr>
      <t xml:space="preserve"> </t>
    </r>
  </si>
  <si>
    <t>997221141/P</t>
  </si>
  <si>
    <r>
      <rPr>
        <b/>
        <sz val="10"/>
        <rFont val="Arial"/>
        <family val="2"/>
        <charset val="238"/>
      </rPr>
      <t xml:space="preserve">Vodorovné přemístění žulové mozaiky a dlažby  </t>
    </r>
    <r>
      <rPr>
        <sz val="10"/>
        <rFont val="Arial"/>
        <family val="2"/>
        <charset val="238"/>
      </rPr>
      <t>do 50m, se složením, na mezideponii a ke zpětnému</t>
    </r>
    <r>
      <rPr>
        <b/>
        <sz val="10"/>
        <rFont val="Arial"/>
        <family val="2"/>
        <charset val="238"/>
      </rPr>
      <t xml:space="preserve"> použití</t>
    </r>
    <r>
      <rPr>
        <sz val="10"/>
        <rFont val="Arial"/>
        <family val="2"/>
        <charset val="238"/>
      </rPr>
      <t xml:space="preserve">; </t>
    </r>
    <r>
      <rPr>
        <b/>
        <sz val="10"/>
        <rFont val="Arial"/>
        <family val="2"/>
        <charset val="238"/>
      </rPr>
      <t>výměra : ( 14,88+9,52+4,91+10,20)t*2</t>
    </r>
  </si>
  <si>
    <t>997221551/P</t>
  </si>
  <si>
    <r>
      <t xml:space="preserve">Vodorovná </t>
    </r>
    <r>
      <rPr>
        <sz val="10"/>
        <rFont val="Arial"/>
        <family val="2"/>
        <charset val="238"/>
      </rPr>
      <t xml:space="preserve">doprava ŠD tam a zpět ze sypkých materiálů do cca 50m
na meziskládku a k dalšímu použití, </t>
    </r>
    <r>
      <rPr>
        <b/>
        <sz val="10"/>
        <rFont val="Arial"/>
        <family val="2"/>
        <charset val="238"/>
      </rPr>
      <t>; výměra:(18,27+21,75+11,01+26,91)t *2</t>
    </r>
  </si>
  <si>
    <r>
      <rPr>
        <b/>
        <sz val="10"/>
        <color indexed="8"/>
        <rFont val="Arial"/>
        <family val="2"/>
        <charset val="238"/>
      </rPr>
      <t>Demontáž 8 kamenných schodů 360x 160mm se zámkem</t>
    </r>
    <r>
      <rPr>
        <sz val="10"/>
        <color indexed="8"/>
        <rFont val="Arial"/>
        <family val="2"/>
        <charset val="238"/>
      </rPr>
      <t xml:space="preserve"> - plocha schodu 330 mm a výška nášlapu 150 mm,  </t>
    </r>
    <r>
      <rPr>
        <b/>
        <sz val="10"/>
        <color indexed="8"/>
        <rFont val="Arial"/>
        <family val="2"/>
        <charset val="238"/>
      </rPr>
      <t>k dalšímu použití</t>
    </r>
    <r>
      <rPr>
        <sz val="10"/>
        <color indexed="8"/>
        <rFont val="Arial"/>
        <family val="2"/>
        <charset val="238"/>
      </rPr>
      <t xml:space="preserve"> ; výměra 4,46*8ks</t>
    </r>
  </si>
  <si>
    <r>
      <rPr>
        <b/>
        <sz val="10"/>
        <color indexed="30"/>
        <rFont val="Arial"/>
        <family val="2"/>
        <charset val="238"/>
      </rPr>
      <t>Demontáž základu</t>
    </r>
    <r>
      <rPr>
        <sz val="10"/>
        <color indexed="30"/>
        <rFont val="Arial"/>
        <family val="2"/>
        <charset val="238"/>
      </rPr>
      <t xml:space="preserve"> pod schody z betonu C25/30 XF2  ČSN EN 206-1</t>
    </r>
  </si>
  <si>
    <r>
      <t xml:space="preserve">Vodorovná </t>
    </r>
    <r>
      <rPr>
        <sz val="10"/>
        <rFont val="Arial"/>
        <family val="2"/>
        <charset val="238"/>
      </rPr>
      <t xml:space="preserve">doprava schodů a tam a zpět  do cca 50m
na meziskládku a k dalšímu použití, </t>
    </r>
    <r>
      <rPr>
        <b/>
        <sz val="10"/>
        <rFont val="Arial"/>
        <family val="2"/>
        <charset val="238"/>
      </rPr>
      <t>; výměra:4,00t *2</t>
    </r>
  </si>
  <si>
    <r>
      <t xml:space="preserve">Vodorovná </t>
    </r>
    <r>
      <rPr>
        <sz val="10"/>
        <rFont val="Arial"/>
        <family val="2"/>
        <charset val="238"/>
      </rPr>
      <t xml:space="preserve">doprava základů  do cca 1km na skládku </t>
    </r>
    <r>
      <rPr>
        <b/>
        <sz val="10"/>
        <rFont val="Arial"/>
        <family val="2"/>
        <charset val="238"/>
      </rPr>
      <t>; výměra:4,41t</t>
    </r>
  </si>
  <si>
    <r>
      <t>Dtto, avšak příplatek  ZDK 1km</t>
    </r>
    <r>
      <rPr>
        <sz val="10"/>
        <rFont val="Arial"/>
        <family val="2"/>
        <charset val="238"/>
      </rPr>
      <t xml:space="preserve"> (</t>
    </r>
    <r>
      <rPr>
        <sz val="10"/>
        <rFont val="Calibri"/>
        <family val="2"/>
        <charset val="238"/>
      </rPr>
      <t>∑</t>
    </r>
    <r>
      <rPr>
        <sz val="10"/>
        <rFont val="Arial"/>
        <family val="2"/>
        <charset val="238"/>
      </rPr>
      <t xml:space="preserve"> 19km) , Kč</t>
    </r>
    <r>
      <rPr>
        <sz val="10"/>
        <rFont val="Calibri"/>
        <family val="2"/>
        <charset val="238"/>
      </rPr>
      <t>∑</t>
    </r>
    <r>
      <rPr>
        <sz val="10"/>
        <rFont val="Arial"/>
        <family val="2"/>
        <charset val="238"/>
      </rPr>
      <t>=(14,50Kč*19km)</t>
    </r>
  </si>
  <si>
    <r>
      <rPr>
        <b/>
        <sz val="10"/>
        <color indexed="8"/>
        <rFont val="Segoe UI"/>
        <family val="2"/>
        <charset val="238"/>
      </rPr>
      <t xml:space="preserve">Poplatek za uložení </t>
    </r>
    <r>
      <rPr>
        <sz val="10"/>
        <color indexed="8"/>
        <rFont val="Segoe UI"/>
        <family val="2"/>
        <charset val="238"/>
      </rPr>
      <t>na skládce (skládkovné) stavebního odpadu betonového kód odpadu 17 01 01</t>
    </r>
  </si>
  <si>
    <r>
      <rPr>
        <b/>
        <sz val="10"/>
        <color indexed="30"/>
        <rFont val="Arial"/>
        <family val="2"/>
        <charset val="238"/>
      </rPr>
      <t>Podsyp pod základové</t>
    </r>
    <r>
      <rPr>
        <sz val="10"/>
        <color indexed="30"/>
        <rFont val="Arial"/>
        <family val="2"/>
        <charset val="238"/>
      </rPr>
      <t xml:space="preserve"> konstrukce se zhutněním, výměra :0,40*4,46*0,10*8</t>
    </r>
  </si>
  <si>
    <r>
      <rPr>
        <b/>
        <sz val="10"/>
        <color indexed="30"/>
        <rFont val="Arial"/>
        <family val="2"/>
        <charset val="238"/>
      </rPr>
      <t xml:space="preserve">Základy z betonu </t>
    </r>
    <r>
      <rPr>
        <sz val="10"/>
        <color indexed="30"/>
        <rFont val="Arial"/>
        <family val="2"/>
        <charset val="238"/>
      </rPr>
      <t xml:space="preserve"> C25/30 XF2  ČSN EN 206-1 pod zpětně uložené kamenné schody </t>
    </r>
  </si>
  <si>
    <t>434191421/P</t>
  </si>
  <si>
    <r>
      <rPr>
        <b/>
        <sz val="10"/>
        <color indexed="30"/>
        <rFont val="Arial"/>
        <family val="2"/>
        <charset val="238"/>
      </rPr>
      <t xml:space="preserve">Montáž 8 kamenných schodů </t>
    </r>
    <r>
      <rPr>
        <sz val="10"/>
        <color indexed="30"/>
        <rFont val="Arial"/>
        <family val="2"/>
        <charset val="238"/>
      </rPr>
      <t>360 x 160mmse zámkem - plocha schodu 330 mm a výška nášlapu 150 mm  ; výměra 4,46*8ks</t>
    </r>
  </si>
  <si>
    <t>113201111/P</t>
  </si>
  <si>
    <r>
      <rPr>
        <b/>
        <sz val="10"/>
        <color indexed="17"/>
        <rFont val="Arial"/>
        <family val="2"/>
        <charset val="238"/>
      </rPr>
      <t xml:space="preserve">Vytrhání -parkový kamenný obrubník 100 x 200 mm </t>
    </r>
    <r>
      <rPr>
        <sz val="10"/>
        <color indexed="17"/>
        <rFont val="Arial"/>
        <family val="2"/>
        <charset val="238"/>
      </rPr>
      <t>uložený do betonového  lože s opěrou;</t>
    </r>
    <r>
      <rPr>
        <b/>
        <sz val="10"/>
        <color indexed="17"/>
        <rFont val="Arial"/>
        <family val="2"/>
        <charset val="238"/>
      </rPr>
      <t xml:space="preserve"> k dalšímu použití</t>
    </r>
  </si>
  <si>
    <t>113201119/P</t>
  </si>
  <si>
    <r>
      <rPr>
        <b/>
        <sz val="10"/>
        <color indexed="17"/>
        <rFont val="Arial"/>
        <family val="2"/>
        <charset val="238"/>
      </rPr>
      <t>Demontáž betonové opěry</t>
    </r>
    <r>
      <rPr>
        <sz val="10"/>
        <color indexed="17"/>
        <rFont val="Arial"/>
        <family val="2"/>
        <charset val="238"/>
      </rPr>
      <t xml:space="preserve"> C25/30 XF2 , ČSN EN 206-1</t>
    </r>
  </si>
  <si>
    <t>979021111/P</t>
  </si>
  <si>
    <r>
      <rPr>
        <b/>
        <sz val="10"/>
        <color indexed="17"/>
        <rFont val="Arial"/>
        <family val="2"/>
        <charset val="238"/>
      </rPr>
      <t>Očištění - parkový kamenný obrubník</t>
    </r>
    <r>
      <rPr>
        <sz val="10"/>
        <color indexed="17"/>
        <rFont val="Arial"/>
        <family val="2"/>
        <charset val="238"/>
      </rPr>
      <t xml:space="preserve"> 100 x 200 mm s opěrou</t>
    </r>
  </si>
  <si>
    <r>
      <t xml:space="preserve">Vodorovné přemístění </t>
    </r>
    <r>
      <rPr>
        <sz val="10"/>
        <rFont val="Arial"/>
        <family val="2"/>
        <charset val="238"/>
      </rPr>
      <t xml:space="preserve">kamenných obrub tam i zpět do 50m, se složením, na mezideponii </t>
    </r>
    <r>
      <rPr>
        <b/>
        <sz val="10"/>
        <rFont val="Arial"/>
        <family val="2"/>
        <charset val="238"/>
      </rPr>
      <t>ke zpětnému použití</t>
    </r>
    <r>
      <rPr>
        <sz val="10"/>
        <rFont val="Arial"/>
        <family val="2"/>
        <charset val="238"/>
      </rPr>
      <t xml:space="preserve"> ; </t>
    </r>
    <r>
      <rPr>
        <b/>
        <sz val="10"/>
        <rFont val="Arial"/>
        <family val="2"/>
        <charset val="238"/>
      </rPr>
      <t>výměra : 11,93t*2</t>
    </r>
  </si>
  <si>
    <t>916241113/P</t>
  </si>
  <si>
    <r>
      <rPr>
        <b/>
        <sz val="10"/>
        <color indexed="17"/>
        <rFont val="Arial"/>
        <family val="2"/>
        <charset val="238"/>
      </rPr>
      <t xml:space="preserve">Osazení parkového </t>
    </r>
    <r>
      <rPr>
        <sz val="10"/>
        <color indexed="17"/>
        <rFont val="Arial"/>
        <family val="2"/>
        <charset val="238"/>
      </rPr>
      <t xml:space="preserve">kamenného obrubníku 100 x 200mm s opěrou do betonového lože ; </t>
    </r>
    <r>
      <rPr>
        <b/>
        <sz val="10"/>
        <color indexed="17"/>
        <rFont val="Arial"/>
        <family val="2"/>
        <charset val="238"/>
      </rPr>
      <t>výměra</t>
    </r>
    <r>
      <rPr>
        <sz val="10"/>
        <color indexed="17"/>
        <rFont val="Arial"/>
        <family val="2"/>
        <charset val="238"/>
      </rPr>
      <t>: 10,60bm+5,60bm+35,65bm</t>
    </r>
  </si>
  <si>
    <r>
      <t xml:space="preserve">podrobnosti viz </t>
    </r>
    <r>
      <rPr>
        <b/>
        <sz val="9"/>
        <rFont val="Arial"/>
        <family val="2"/>
        <charset val="238"/>
      </rPr>
      <t>v.č. D.1.2. 01</t>
    </r>
    <r>
      <rPr>
        <sz val="9"/>
        <rFont val="Arial"/>
        <family val="2"/>
        <charset val="238"/>
      </rPr>
      <t xml:space="preserve"> - Tvar základové desky</t>
    </r>
  </si>
  <si>
    <t>273321511</t>
  </si>
  <si>
    <r>
      <rPr>
        <b/>
        <sz val="9"/>
        <rFont val="Arial"/>
        <family val="2"/>
        <charset val="238"/>
      </rPr>
      <t>výměry</t>
    </r>
    <r>
      <rPr>
        <sz val="9"/>
        <rFont val="Arial"/>
        <family val="2"/>
        <charset val="238"/>
      </rPr>
      <t>: deska tl. 0,25*75,0m2+ deska zesílená pro sloup SL2 (2,20*1,95*0,25)</t>
    </r>
  </si>
  <si>
    <t>plánovací cena D+M</t>
  </si>
  <si>
    <t>273351121</t>
  </si>
  <si>
    <t>273351122</t>
  </si>
  <si>
    <r>
      <t xml:space="preserve"> - Dtto, avšak</t>
    </r>
    <r>
      <rPr>
        <b/>
        <sz val="9"/>
        <rFont val="Arial"/>
        <family val="2"/>
        <charset val="238"/>
      </rPr>
      <t xml:space="preserve"> odstranění</t>
    </r>
  </si>
  <si>
    <r>
      <rPr>
        <b/>
        <sz val="9"/>
        <rFont val="Arial"/>
        <family val="2"/>
        <charset val="238"/>
      </rPr>
      <t>výměry</t>
    </r>
    <r>
      <rPr>
        <sz val="9"/>
        <rFont val="Arial"/>
        <family val="2"/>
        <charset val="238"/>
      </rPr>
      <t xml:space="preserve"> : boky ( 35,65bm*0,25bm)</t>
    </r>
  </si>
  <si>
    <t>plánovací cena M</t>
  </si>
  <si>
    <t>273361821</t>
  </si>
  <si>
    <t>411362021</t>
  </si>
  <si>
    <t>Tvar stropu nad 1.PP -  deska D1</t>
  </si>
  <si>
    <r>
      <t xml:space="preserve">podrobnosti viz </t>
    </r>
    <r>
      <rPr>
        <b/>
        <sz val="9"/>
        <rFont val="Arial"/>
        <family val="2"/>
        <charset val="238"/>
      </rPr>
      <t>v.č. D.1.2. 04</t>
    </r>
    <r>
      <rPr>
        <sz val="9"/>
        <rFont val="Arial"/>
        <family val="2"/>
        <charset val="238"/>
      </rPr>
      <t>- Tvar stropu nad 1.PP</t>
    </r>
  </si>
  <si>
    <t>411321616</t>
  </si>
  <si>
    <t>výměry : deska tl. 0,22m*66,60m2</t>
  </si>
  <si>
    <r>
      <rPr>
        <sz val="9"/>
        <rFont val="Arial"/>
        <family val="2"/>
        <charset val="238"/>
      </rPr>
      <t xml:space="preserve">odpočet otvoru : </t>
    </r>
    <r>
      <rPr>
        <b/>
        <sz val="9"/>
        <rFont val="Arial"/>
        <family val="2"/>
        <charset val="238"/>
      </rPr>
      <t>0,90*0,20*0,22</t>
    </r>
  </si>
  <si>
    <t>kg</t>
  </si>
  <si>
    <t xml:space="preserve"> + přivařené kotevní "fousy" profil 2x R8 - dl. 0,80</t>
  </si>
  <si>
    <t xml:space="preserve"> + výztuha tvarovaná "a" cca 0,18*0,30</t>
  </si>
  <si>
    <t xml:space="preserve"> + výztuha tvarovaná "b" cca 0,18*0,50</t>
  </si>
  <si>
    <t xml:space="preserve"> + výztuha tvarovaná "c" cca 0,18*0,50</t>
  </si>
  <si>
    <t>411351011</t>
  </si>
  <si>
    <r>
      <t xml:space="preserve">výměry : 
</t>
    </r>
    <r>
      <rPr>
        <sz val="9"/>
        <rFont val="Arial"/>
        <family val="2"/>
        <charset val="238"/>
      </rPr>
      <t>66,60m2+po obvodě na v. 220mm (34,0m) + obvod otvoru (0,90+0,20)*2*0,22</t>
    </r>
    <r>
      <rPr>
        <b/>
        <sz val="9"/>
        <rFont val="Arial"/>
        <family val="2"/>
        <charset val="238"/>
      </rPr>
      <t xml:space="preserve"> + </t>
    </r>
    <r>
      <rPr>
        <sz val="9"/>
        <color indexed="17"/>
        <rFont val="Arial"/>
        <family val="2"/>
        <charset val="238"/>
      </rPr>
      <t>obvod pro hladký povrch (5,80m2*0,22)</t>
    </r>
  </si>
  <si>
    <t>411351012</t>
  </si>
  <si>
    <r>
      <t xml:space="preserve">Dtto, avšak </t>
    </r>
    <r>
      <rPr>
        <b/>
        <sz val="9"/>
        <rFont val="Arial"/>
        <family val="2"/>
        <charset val="238"/>
      </rPr>
      <t>odstranění</t>
    </r>
  </si>
  <si>
    <t>poznámka: 1) Pohledový beton hladký povrch - 
 Architektonicko-stavební část- 
viz v.č. D.1.12.1.03 / PP m.č.0.3 - ( strop-  5,8m2 )
Podrobnosti viz Technická zpráva strana 6 + 9 a příloha 21</t>
  </si>
  <si>
    <t>Plánovací cena</t>
  </si>
  <si>
    <t>Příplatek k cenám bednění stropů za pohledový beton hladký</t>
  </si>
  <si>
    <t>411354313</t>
  </si>
  <si>
    <t>411354314</t>
  </si>
  <si>
    <t>411361821</t>
  </si>
  <si>
    <t>Tvar stropu nad 1.NP - D2</t>
  </si>
  <si>
    <r>
      <t xml:space="preserve">podrobnosti viz </t>
    </r>
    <r>
      <rPr>
        <b/>
        <sz val="9"/>
        <rFont val="Arial"/>
        <family val="2"/>
        <charset val="238"/>
      </rPr>
      <t>v.č. D.1.2. 07</t>
    </r>
    <r>
      <rPr>
        <sz val="9"/>
        <rFont val="Arial"/>
        <family val="2"/>
        <charset val="238"/>
      </rPr>
      <t>- Tvar stropu nad 1.NP</t>
    </r>
  </si>
  <si>
    <r>
      <rPr>
        <b/>
        <sz val="9"/>
        <rFont val="Arial"/>
        <family val="2"/>
        <charset val="238"/>
      </rPr>
      <t>výměry</t>
    </r>
    <r>
      <rPr>
        <sz val="9"/>
        <rFont val="Arial"/>
        <family val="2"/>
        <charset val="238"/>
      </rPr>
      <t xml:space="preserve"> : 13,11m2 + obvod 18,90bm*0,20 + obvod otvoru (0,20+0,90)*2*0,20</t>
    </r>
  </si>
  <si>
    <t>13,11m2+čelo desky (dl. 6,70m+2,20)*0,20+ průvlaky (6,70m*0,25*2) +(dl.1,94*v.0,25*2)</t>
  </si>
  <si>
    <t>plánovací cena</t>
  </si>
  <si>
    <t>Zřízení podpěrné konstrukce stropů výšky do 4 m tl přes 15 do 25 cm</t>
  </si>
  <si>
    <t xml:space="preserve">podrobnosti viz v.č. D.1.2.07 </t>
  </si>
  <si>
    <t>413322626</t>
  </si>
  <si>
    <t>Průvlak P1 - 0,20*0,25*7,64</t>
  </si>
  <si>
    <t>Průvlak P2 - 0,20*0,25*2,39</t>
  </si>
  <si>
    <t>413351121</t>
  </si>
  <si>
    <t>413351122</t>
  </si>
  <si>
    <r>
      <t xml:space="preserve"> - </t>
    </r>
    <r>
      <rPr>
        <sz val="9"/>
        <color indexed="10"/>
        <rFont val="Arial"/>
        <family val="2"/>
        <charset val="238"/>
      </rPr>
      <t xml:space="preserve">dtto, avšak </t>
    </r>
    <r>
      <rPr>
        <b/>
        <sz val="9"/>
        <color indexed="10"/>
        <rFont val="Arial"/>
        <family val="2"/>
        <charset val="238"/>
      </rPr>
      <t>odstranění</t>
    </r>
  </si>
  <si>
    <t>413351191</t>
  </si>
  <si>
    <t>413352115</t>
  </si>
  <si>
    <t>413352116</t>
  </si>
  <si>
    <t>413361821</t>
  </si>
  <si>
    <t>Tvar stropu nad 2.NP</t>
  </si>
  <si>
    <r>
      <t xml:space="preserve">podrobnosti viz </t>
    </r>
    <r>
      <rPr>
        <b/>
        <sz val="9"/>
        <rFont val="Arial"/>
        <family val="2"/>
        <charset val="238"/>
      </rPr>
      <t>v.č. D.1.2. 09</t>
    </r>
    <r>
      <rPr>
        <sz val="9"/>
        <rFont val="Arial"/>
        <family val="2"/>
        <charset val="238"/>
      </rPr>
      <t xml:space="preserve"> - Tvar stropu nad 2.NP</t>
    </r>
  </si>
  <si>
    <t>atika</t>
  </si>
  <si>
    <t>Tvar stěn 1. PP</t>
  </si>
  <si>
    <r>
      <t xml:space="preserve">podrobnosti viz </t>
    </r>
    <r>
      <rPr>
        <b/>
        <sz val="9"/>
        <rFont val="Arial"/>
        <family val="2"/>
        <charset val="238"/>
      </rPr>
      <t>v.č. D.1.2. 14</t>
    </r>
    <r>
      <rPr>
        <sz val="9"/>
        <rFont val="Arial"/>
        <family val="2"/>
        <charset val="238"/>
      </rPr>
      <t xml:space="preserve"> - Tvar stěn 1.PP</t>
    </r>
  </si>
  <si>
    <t>341321410</t>
  </si>
  <si>
    <t>výměry ; v. 3,00bm*7,0m2</t>
  </si>
  <si>
    <t>odpočet otvorů:  -(0,835*0,9+0,8*0,7+0,2*1,125)*0,2</t>
  </si>
  <si>
    <t xml:space="preserve">vnitřní poloměr atyp (r) 1000mm -  1ks  výseč kruhu
3000mm, dl. 800mm </t>
  </si>
  <si>
    <t>341351111</t>
  </si>
  <si>
    <t>Zřízení oboustranného bednění nosných stěn</t>
  </si>
  <si>
    <r>
      <rPr>
        <sz val="9"/>
        <rFont val="Arial"/>
        <family val="2"/>
        <charset val="238"/>
      </rPr>
      <t>výměra</t>
    </r>
    <r>
      <rPr>
        <b/>
        <sz val="9"/>
        <rFont val="Arial"/>
        <family val="2"/>
        <charset val="238"/>
      </rPr>
      <t xml:space="preserve"> ; vnitřní a vnější obvod 69,0m2 *3,0 v. </t>
    </r>
  </si>
  <si>
    <t>odpočet otvorů -(0,835*0,9+0,8*0,7+0,2*1,125)*2</t>
  </si>
  <si>
    <t>přípočet ostění, nadpraží, parapet :
( 1,80+0,70)*2*0,20 + (0,835*2+0,90)*0,20+0,90*0,25+(0,20+1,125)*2*0,2</t>
  </si>
  <si>
    <t>341351112</t>
  </si>
  <si>
    <r>
      <t xml:space="preserve">podrobnosti viz </t>
    </r>
    <r>
      <rPr>
        <b/>
        <sz val="9"/>
        <rFont val="Arial"/>
        <family val="2"/>
        <charset val="238"/>
      </rPr>
      <t>v.č. D.1.2. 16</t>
    </r>
    <r>
      <rPr>
        <sz val="9"/>
        <rFont val="Arial"/>
        <family val="2"/>
        <charset val="238"/>
      </rPr>
      <t xml:space="preserve"> - </t>
    </r>
    <r>
      <rPr>
        <b/>
        <sz val="9"/>
        <rFont val="Arial"/>
        <family val="2"/>
        <charset val="238"/>
      </rPr>
      <t>výztuž stěn 1.PP</t>
    </r>
  </si>
  <si>
    <t>341361821</t>
  </si>
  <si>
    <t>Výztuž stěn betonářskou ocelí B500B</t>
  </si>
  <si>
    <t>Tvar stěn 1.NP a 2.NP</t>
  </si>
  <si>
    <r>
      <t xml:space="preserve">podrobnosti viz </t>
    </r>
    <r>
      <rPr>
        <b/>
        <sz val="9"/>
        <rFont val="Arial"/>
        <family val="2"/>
        <charset val="238"/>
      </rPr>
      <t>v.č. D.1.2. 17</t>
    </r>
    <r>
      <rPr>
        <sz val="9"/>
        <rFont val="Arial"/>
        <family val="2"/>
        <charset val="238"/>
      </rPr>
      <t xml:space="preserve"> - Tvar stěn 1.NP a  2.NP</t>
    </r>
  </si>
  <si>
    <r>
      <t xml:space="preserve">podrobnosti viz </t>
    </r>
    <r>
      <rPr>
        <b/>
        <sz val="9"/>
        <rFont val="Arial"/>
        <family val="2"/>
        <charset val="238"/>
      </rPr>
      <t>v.č. D.1.2. 18 a 19</t>
    </r>
    <r>
      <rPr>
        <sz val="9"/>
        <rFont val="Arial"/>
        <family val="2"/>
        <charset val="238"/>
      </rPr>
      <t xml:space="preserve"> - výztuž stěn 1.NP a  2.NP</t>
    </r>
  </si>
  <si>
    <t>411321414</t>
  </si>
  <si>
    <t>Zřízení bednění stropů deskových tl  (200mm) přes 5 do 25 cm bez podpěrné kce</t>
  </si>
  <si>
    <r>
      <rPr>
        <b/>
        <sz val="10"/>
        <rFont val="Arial"/>
        <family val="2"/>
        <charset val="238"/>
      </rPr>
      <t xml:space="preserve">poznámka </t>
    </r>
    <r>
      <rPr>
        <sz val="10"/>
        <rFont val="Arial"/>
        <family val="2"/>
        <charset val="238"/>
      </rPr>
      <t xml:space="preserve">pro provedení betonových konstrukcí: 
</t>
    </r>
    <r>
      <rPr>
        <b/>
        <sz val="10"/>
        <rFont val="Arial"/>
        <family val="2"/>
        <charset val="238"/>
      </rPr>
      <t xml:space="preserve"> - 1) V železobetonových konstrukcích bude provedeno trubkování pro vedení instalací-podrobnosti viz: nutné vypracování dodavatelské dokumentace v návaznosti na profese. Pracovní spáry stěn budou opatřeny vylamovací výztuží pro napojení dalšího záběru.
Při oceňování číst spolu Výkresovou  dokumentaci a Technickou zprávu.</t>
    </r>
  </si>
  <si>
    <t xml:space="preserve">Poznámka : Sloup SL1 je součástí betonáže schodiště . </t>
  </si>
  <si>
    <t>prověřit</t>
  </si>
  <si>
    <t xml:space="preserve"> - Smykové lišty proti protlačení HDB-10/205-3/360 -  ks 7+2 = 9ks</t>
  </si>
  <si>
    <t xml:space="preserve"> - Zřízení bednění základových desek</t>
  </si>
  <si>
    <r>
      <t xml:space="preserve"> - Výztuž </t>
    </r>
    <r>
      <rPr>
        <sz val="9"/>
        <rFont val="Arial"/>
        <family val="2"/>
        <charset val="238"/>
      </rPr>
      <t xml:space="preserve">základových desek </t>
    </r>
    <r>
      <rPr>
        <b/>
        <sz val="9"/>
        <rFont val="Arial"/>
        <family val="2"/>
        <charset val="238"/>
      </rPr>
      <t xml:space="preserve">betonářskou ocelí B500B
spodní výztuž </t>
    </r>
    <r>
      <rPr>
        <sz val="9"/>
        <rFont val="Arial"/>
        <family val="2"/>
        <charset val="238"/>
      </rPr>
      <t>desky</t>
    </r>
    <r>
      <rPr>
        <b/>
        <sz val="9"/>
        <rFont val="Arial"/>
        <family val="2"/>
        <charset val="238"/>
      </rPr>
      <t xml:space="preserve"> - </t>
    </r>
    <r>
      <rPr>
        <sz val="9"/>
        <rFont val="Arial"/>
        <family val="2"/>
        <charset val="238"/>
      </rPr>
      <t xml:space="preserve">podrobnosti </t>
    </r>
    <r>
      <rPr>
        <b/>
        <sz val="9"/>
        <rFont val="Arial"/>
        <family val="2"/>
        <charset val="238"/>
      </rPr>
      <t>viz v.č. D.1.2. 02</t>
    </r>
  </si>
  <si>
    <r>
      <t xml:space="preserve"> - Výztuž</t>
    </r>
    <r>
      <rPr>
        <b/>
        <sz val="9"/>
        <color indexed="10"/>
        <rFont val="Arial"/>
        <family val="2"/>
        <charset val="238"/>
      </rPr>
      <t xml:space="preserve"> stropů</t>
    </r>
    <r>
      <rPr>
        <b/>
        <sz val="9"/>
        <rFont val="Arial"/>
        <family val="2"/>
        <charset val="238"/>
      </rPr>
      <t xml:space="preserve"> svařovanými sítěmi Kari  Q188A(6/150x6/150) -</t>
    </r>
    <r>
      <rPr>
        <sz val="9"/>
        <rFont val="Arial"/>
        <family val="2"/>
        <charset val="238"/>
      </rPr>
      <t xml:space="preserve"> podrobnosti viz v.č. </t>
    </r>
    <r>
      <rPr>
        <b/>
        <sz val="9"/>
        <rFont val="Arial"/>
        <family val="2"/>
        <charset val="238"/>
      </rPr>
      <t>D.1.2. 02</t>
    </r>
  </si>
  <si>
    <r>
      <t xml:space="preserve"> - Výztuž </t>
    </r>
    <r>
      <rPr>
        <sz val="9"/>
        <rFont val="Arial"/>
        <family val="2"/>
        <charset val="238"/>
      </rPr>
      <t>základových desek</t>
    </r>
    <r>
      <rPr>
        <b/>
        <sz val="9"/>
        <rFont val="Arial"/>
        <family val="2"/>
        <charset val="238"/>
      </rPr>
      <t xml:space="preserve"> betonářskou ocelí B500B
horní výztuž </t>
    </r>
    <r>
      <rPr>
        <sz val="9"/>
        <rFont val="Arial"/>
        <family val="2"/>
        <charset val="238"/>
      </rPr>
      <t>desky</t>
    </r>
    <r>
      <rPr>
        <b/>
        <sz val="9"/>
        <rFont val="Arial"/>
        <family val="2"/>
        <charset val="238"/>
      </rPr>
      <t xml:space="preserve"> - </t>
    </r>
    <r>
      <rPr>
        <sz val="9"/>
        <rFont val="Arial"/>
        <family val="2"/>
        <charset val="238"/>
      </rPr>
      <t>podrobnosti</t>
    </r>
    <r>
      <rPr>
        <b/>
        <sz val="9"/>
        <rFont val="Arial"/>
        <family val="2"/>
        <charset val="238"/>
      </rPr>
      <t xml:space="preserve"> viz v.č. D.1.2. 03</t>
    </r>
  </si>
  <si>
    <t>Z á k l a d y</t>
  </si>
  <si>
    <t>S t r o p n í  desky</t>
  </si>
  <si>
    <r>
      <t xml:space="preserve">Smykové lišty proti protlačení </t>
    </r>
    <r>
      <rPr>
        <sz val="8"/>
        <color indexed="10"/>
        <rFont val="Arial"/>
        <family val="2"/>
        <charset val="238"/>
      </rPr>
      <t>(např.systém halfen</t>
    </r>
    <r>
      <rPr>
        <sz val="9"/>
        <color indexed="10"/>
        <rFont val="Arial"/>
        <family val="2"/>
        <charset val="238"/>
      </rPr>
      <t xml:space="preserve">)  
HDB-10/205-3/360 - ks 5 </t>
    </r>
  </si>
  <si>
    <t>pořizovací cena D+M</t>
  </si>
  <si>
    <r>
      <rPr>
        <b/>
        <sz val="9"/>
        <rFont val="Arial"/>
        <family val="2"/>
        <charset val="238"/>
      </rPr>
      <t xml:space="preserve"> - Základové desky</t>
    </r>
    <r>
      <rPr>
        <sz val="9"/>
        <rFont val="Arial"/>
        <family val="2"/>
        <charset val="238"/>
      </rPr>
      <t xml:space="preserve"> ze </t>
    </r>
    <r>
      <rPr>
        <b/>
        <sz val="9"/>
        <rFont val="Arial"/>
        <family val="2"/>
        <charset val="238"/>
      </rPr>
      <t xml:space="preserve">ŽB </t>
    </r>
    <r>
      <rPr>
        <sz val="8"/>
        <rFont val="Arial"/>
        <family val="2"/>
        <charset val="238"/>
      </rPr>
      <t xml:space="preserve">bez zvýšených nároků na prostředí </t>
    </r>
    <r>
      <rPr>
        <sz val="9"/>
        <rFont val="Arial"/>
        <family val="2"/>
        <charset val="238"/>
      </rPr>
      <t xml:space="preserve"> tř.C 25/30 - tl. 250mm </t>
    </r>
  </si>
  <si>
    <t xml:space="preserve"> - Stropy deskové ze ŽB tř. C 30/37 - tl. 220mm</t>
  </si>
  <si>
    <r>
      <t xml:space="preserve"> - Smykové lišty proti protlačení </t>
    </r>
    <r>
      <rPr>
        <sz val="8"/>
        <color indexed="10"/>
        <rFont val="Arial"/>
        <family val="2"/>
        <charset val="238"/>
      </rPr>
      <t xml:space="preserve">(např.systém halfen)  
</t>
    </r>
    <r>
      <rPr>
        <sz val="9"/>
        <color indexed="10"/>
        <rFont val="Arial"/>
        <family val="2"/>
        <charset val="238"/>
      </rPr>
      <t xml:space="preserve">HDB-10/175-4/450 - ks 8+3 </t>
    </r>
  </si>
  <si>
    <r>
      <t xml:space="preserve"> - Plechové hlavice vel. 0,50*0,50 + přivařené prvky (ozn. 1 - 4) + zabudování</t>
    </r>
    <r>
      <rPr>
        <sz val="9"/>
        <color indexed="8"/>
        <rFont val="Arial"/>
        <family val="2"/>
        <charset val="238"/>
      </rPr>
      <t xml:space="preserve"> 
podrobnosti viz v.č.D.1.2.04- ocelové plechy tl.cca 14mm</t>
    </r>
  </si>
  <si>
    <r>
      <t xml:space="preserve"> - Zřízení bednění stropů deskových tl (220mm) 
</t>
    </r>
    <r>
      <rPr>
        <sz val="9"/>
        <rFont val="Arial"/>
        <family val="2"/>
        <charset val="238"/>
      </rPr>
      <t>přes 5 do 25 cm bez podpěrné kce</t>
    </r>
  </si>
  <si>
    <r>
      <t xml:space="preserve"> - Dtto, avšak </t>
    </r>
    <r>
      <rPr>
        <b/>
        <sz val="9"/>
        <rFont val="Arial"/>
        <family val="2"/>
        <charset val="238"/>
      </rPr>
      <t>odstranění</t>
    </r>
  </si>
  <si>
    <r>
      <t xml:space="preserve"> - Výztuž </t>
    </r>
    <r>
      <rPr>
        <sz val="9"/>
        <rFont val="Arial"/>
        <family val="2"/>
        <charset val="238"/>
      </rPr>
      <t>základových desek betonářskou ocelí</t>
    </r>
    <r>
      <rPr>
        <b/>
        <sz val="9"/>
        <rFont val="Arial"/>
        <family val="2"/>
        <charset val="238"/>
      </rPr>
      <t xml:space="preserve"> B500B spodní výztuž desky - </t>
    </r>
    <r>
      <rPr>
        <sz val="9"/>
        <rFont val="Arial"/>
        <family val="2"/>
        <charset val="238"/>
      </rPr>
      <t xml:space="preserve">podrobnosti </t>
    </r>
    <r>
      <rPr>
        <b/>
        <sz val="9"/>
        <rFont val="Arial"/>
        <family val="2"/>
        <charset val="238"/>
      </rPr>
      <t>viz v.č. D.1.2. 05</t>
    </r>
  </si>
  <si>
    <r>
      <t xml:space="preserve"> - Výztuž </t>
    </r>
    <r>
      <rPr>
        <sz val="9"/>
        <rFont val="Arial"/>
        <family val="2"/>
        <charset val="238"/>
      </rPr>
      <t>základových desek</t>
    </r>
    <r>
      <rPr>
        <b/>
        <sz val="9"/>
        <rFont val="Arial"/>
        <family val="2"/>
        <charset val="238"/>
      </rPr>
      <t xml:space="preserve"> </t>
    </r>
    <r>
      <rPr>
        <sz val="9"/>
        <rFont val="Arial"/>
        <family val="2"/>
        <charset val="238"/>
      </rPr>
      <t>betonářskou ocelí</t>
    </r>
    <r>
      <rPr>
        <b/>
        <sz val="9"/>
        <rFont val="Arial"/>
        <family val="2"/>
        <charset val="238"/>
      </rPr>
      <t xml:space="preserve"> B500B horní výztuž desky - </t>
    </r>
    <r>
      <rPr>
        <sz val="9"/>
        <rFont val="Arial"/>
        <family val="2"/>
        <charset val="238"/>
      </rPr>
      <t>podrobnosti</t>
    </r>
    <r>
      <rPr>
        <b/>
        <sz val="9"/>
        <rFont val="Arial"/>
        <family val="2"/>
        <charset val="238"/>
      </rPr>
      <t xml:space="preserve"> viz v.č. D.1.2. 06</t>
    </r>
  </si>
  <si>
    <r>
      <rPr>
        <b/>
        <sz val="9"/>
        <rFont val="Arial"/>
        <family val="2"/>
        <charset val="238"/>
      </rPr>
      <t xml:space="preserve"> - Zřízení podpěrné</t>
    </r>
    <r>
      <rPr>
        <sz val="9"/>
        <rFont val="Arial"/>
        <family val="2"/>
        <charset val="238"/>
      </rPr>
      <t xml:space="preserve"> konstrukce stropů výšky do 4 m tl přes 15 do 25 cm (jen spodní plocha)</t>
    </r>
  </si>
  <si>
    <r>
      <rPr>
        <b/>
        <sz val="9"/>
        <rFont val="Arial"/>
        <family val="2"/>
        <charset val="238"/>
      </rPr>
      <t xml:space="preserve"> - Odstranění </t>
    </r>
    <r>
      <rPr>
        <sz val="9"/>
        <rFont val="Arial"/>
        <family val="2"/>
        <charset val="238"/>
      </rPr>
      <t>podpěrné konstrukce stropů výšky do 4 m tl přes 15 do 25 cm</t>
    </r>
  </si>
  <si>
    <r>
      <t xml:space="preserve"> - Výztuž stropů svařovanými sítěmi Kari  Q188A -</t>
    </r>
    <r>
      <rPr>
        <sz val="9"/>
        <rFont val="Arial"/>
        <family val="2"/>
        <charset val="238"/>
      </rPr>
      <t xml:space="preserve"> podrobnosti viz v.č. D.1.2. 05</t>
    </r>
  </si>
  <si>
    <r>
      <t xml:space="preserve"> - Výztuž stropů svařovanými sítěmi Kari  Q188A -</t>
    </r>
    <r>
      <rPr>
        <sz val="9"/>
        <rFont val="Arial"/>
        <family val="2"/>
        <charset val="238"/>
      </rPr>
      <t xml:space="preserve"> podrobnosti viz v.č. D.1.2. 06</t>
    </r>
  </si>
  <si>
    <t xml:space="preserve"> - Stropy deskové ze ŽB tř. C 30/37 - tl. 200mm</t>
  </si>
  <si>
    <r>
      <t xml:space="preserve">výměra : plocha </t>
    </r>
    <r>
      <rPr>
        <sz val="9"/>
        <rFont val="Arial"/>
        <family val="2"/>
        <charset val="238"/>
      </rPr>
      <t xml:space="preserve">13,11m2*0,20 - odpočet tvor (0,20*0,90) </t>
    </r>
  </si>
  <si>
    <r>
      <t xml:space="preserve"> - Zřízení bednění </t>
    </r>
    <r>
      <rPr>
        <sz val="9"/>
        <rFont val="Arial"/>
        <family val="2"/>
        <charset val="238"/>
      </rPr>
      <t>stropů deskových tl (200mm) přes 5 do 25 cm bez podpěrné kce</t>
    </r>
  </si>
  <si>
    <r>
      <t xml:space="preserve"> - </t>
    </r>
    <r>
      <rPr>
        <b/>
        <sz val="9"/>
        <color indexed="10"/>
        <rFont val="Arial"/>
        <family val="2"/>
        <charset val="238"/>
      </rPr>
      <t>Příplatek</t>
    </r>
    <r>
      <rPr>
        <sz val="9"/>
        <color indexed="10"/>
        <rFont val="Arial"/>
        <family val="2"/>
        <charset val="238"/>
      </rPr>
      <t xml:space="preserve"> k cenám stropů  za pohledový beton hladký a rovinný pro aplikaci stěrky (pochozí plocha)</t>
    </r>
  </si>
  <si>
    <r>
      <t xml:space="preserve"> - </t>
    </r>
    <r>
      <rPr>
        <b/>
        <sz val="9"/>
        <color indexed="10"/>
        <rFont val="Arial"/>
        <family val="2"/>
        <charset val="238"/>
      </rPr>
      <t>Příplatek</t>
    </r>
    <r>
      <rPr>
        <sz val="9"/>
        <color indexed="10"/>
        <rFont val="Arial"/>
        <family val="2"/>
        <charset val="238"/>
      </rPr>
      <t xml:space="preserve"> k cenám bednění stropů a průvlaků za pohledový beton hladký (pohledové boky+podhledová plocha)</t>
    </r>
  </si>
  <si>
    <r>
      <t xml:space="preserve"> -</t>
    </r>
    <r>
      <rPr>
        <b/>
        <sz val="9"/>
        <color indexed="10"/>
        <rFont val="Arial"/>
        <family val="2"/>
        <charset val="238"/>
      </rPr>
      <t xml:space="preserve"> Přirážka</t>
    </r>
    <r>
      <rPr>
        <sz val="9"/>
        <color indexed="10"/>
        <rFont val="Arial"/>
        <family val="2"/>
        <charset val="238"/>
      </rPr>
      <t xml:space="preserve"> na procházející sloup</t>
    </r>
  </si>
  <si>
    <r>
      <t xml:space="preserve"> - </t>
    </r>
    <r>
      <rPr>
        <b/>
        <sz val="9"/>
        <rFont val="Arial"/>
        <family val="2"/>
        <charset val="238"/>
      </rPr>
      <t xml:space="preserve">Zřízení podpěrné </t>
    </r>
    <r>
      <rPr>
        <sz val="9"/>
        <rFont val="Arial"/>
        <family val="2"/>
        <charset val="238"/>
      </rPr>
      <t>konstrukce stropů výšky do 4 m tl přes 15 do 25 cm</t>
    </r>
  </si>
  <si>
    <r>
      <t xml:space="preserve"> - </t>
    </r>
    <r>
      <rPr>
        <b/>
        <sz val="9"/>
        <rFont val="Arial"/>
        <family val="2"/>
        <charset val="238"/>
      </rPr>
      <t>Odstranění</t>
    </r>
    <r>
      <rPr>
        <sz val="9"/>
        <rFont val="Arial"/>
        <family val="2"/>
        <charset val="238"/>
      </rPr>
      <t xml:space="preserve"> podpěrné konstrukce stropů výšky do 4 m tl přes 15 do 25 cm</t>
    </r>
  </si>
  <si>
    <r>
      <t xml:space="preserve"> - Nosníky ze ŽB </t>
    </r>
    <r>
      <rPr>
        <sz val="9"/>
        <color indexed="10"/>
        <rFont val="Arial"/>
        <family val="2"/>
        <charset val="238"/>
      </rPr>
      <t>pohledového tř. C 30/37 (Průvlak P1  + P2)</t>
    </r>
  </si>
  <si>
    <r>
      <t xml:space="preserve"> - Zřízení bednění </t>
    </r>
    <r>
      <rPr>
        <sz val="9"/>
        <color indexed="10"/>
        <rFont val="Arial"/>
        <family val="2"/>
        <charset val="238"/>
      </rPr>
      <t>nosníků a průvlaků</t>
    </r>
    <r>
      <rPr>
        <b/>
        <sz val="9"/>
        <color indexed="10"/>
        <rFont val="Arial"/>
        <family val="2"/>
        <charset val="238"/>
      </rPr>
      <t xml:space="preserve"> </t>
    </r>
    <r>
      <rPr>
        <sz val="9"/>
        <color indexed="10"/>
        <rFont val="Arial"/>
        <family val="2"/>
        <charset val="238"/>
      </rPr>
      <t>bez podpěrné kce výšky přes 100 cm</t>
    </r>
  </si>
  <si>
    <r>
      <t>výměry ;</t>
    </r>
    <r>
      <rPr>
        <sz val="9"/>
        <color indexed="10"/>
        <rFont val="Arial"/>
        <family val="2"/>
        <charset val="238"/>
      </rPr>
      <t xml:space="preserve"> 0,25*7,64*2+0,25*2,39*2+0,20*(7,64+2,39)</t>
    </r>
  </si>
  <si>
    <r>
      <t xml:space="preserve"> - </t>
    </r>
    <r>
      <rPr>
        <b/>
        <sz val="9"/>
        <color indexed="10"/>
        <rFont val="Arial"/>
        <family val="2"/>
        <charset val="238"/>
      </rPr>
      <t>Příplatek</t>
    </r>
    <r>
      <rPr>
        <sz val="9"/>
        <color indexed="10"/>
        <rFont val="Arial"/>
        <family val="2"/>
        <charset val="238"/>
      </rPr>
      <t xml:space="preserve"> k cenám bednění nosníků za pohled. beton</t>
    </r>
  </si>
  <si>
    <r>
      <t xml:space="preserve"> - </t>
    </r>
    <r>
      <rPr>
        <b/>
        <sz val="9"/>
        <color indexed="10"/>
        <rFont val="Arial"/>
        <family val="2"/>
        <charset val="238"/>
      </rPr>
      <t xml:space="preserve">Zřízení </t>
    </r>
    <r>
      <rPr>
        <sz val="9"/>
        <color indexed="10"/>
        <rFont val="Arial"/>
        <family val="2"/>
        <charset val="238"/>
      </rPr>
      <t>podpěrné konstrukce nosníků výšky podepření do 4 m pro nosník výšky přes 100 cm</t>
    </r>
  </si>
  <si>
    <r>
      <t xml:space="preserve"> - Výztuž stropů </t>
    </r>
    <r>
      <rPr>
        <sz val="9"/>
        <rFont val="Arial"/>
        <family val="2"/>
        <charset val="238"/>
      </rPr>
      <t xml:space="preserve">betonářskou ocelí B500B </t>
    </r>
    <r>
      <rPr>
        <b/>
        <sz val="9"/>
        <rFont val="Arial"/>
        <family val="2"/>
        <charset val="238"/>
      </rPr>
      <t xml:space="preserve"> nad 1.NP- </t>
    </r>
    <r>
      <rPr>
        <sz val="9"/>
        <rFont val="Arial"/>
        <family val="2"/>
        <charset val="238"/>
      </rPr>
      <t xml:space="preserve">podrobnosti </t>
    </r>
    <r>
      <rPr>
        <b/>
        <sz val="9"/>
        <rFont val="Arial"/>
        <family val="2"/>
        <charset val="238"/>
      </rPr>
      <t>viz v.č. D.1.2. 08</t>
    </r>
  </si>
  <si>
    <r>
      <rPr>
        <b/>
        <sz val="9"/>
        <color indexed="10"/>
        <rFont val="Arial"/>
        <family val="2"/>
        <charset val="238"/>
      </rPr>
      <t xml:space="preserve"> - Výztuž nosníků</t>
    </r>
    <r>
      <rPr>
        <sz val="9"/>
        <color indexed="10"/>
        <rFont val="Arial"/>
        <family val="2"/>
        <charset val="238"/>
      </rPr>
      <t xml:space="preserve">, volných trámů nebo průvlaků volných trámů betonářskou ocelí </t>
    </r>
    <r>
      <rPr>
        <b/>
        <sz val="9"/>
        <color indexed="10"/>
        <rFont val="Arial"/>
        <family val="2"/>
        <charset val="238"/>
      </rPr>
      <t xml:space="preserve">B500B </t>
    </r>
    <r>
      <rPr>
        <sz val="9"/>
        <color indexed="10"/>
        <rFont val="Arial"/>
        <family val="2"/>
        <charset val="238"/>
      </rPr>
      <t xml:space="preserve">(výztuž desky nad 1 ; podrobnosti viz v.č.  D.1.2.12 </t>
    </r>
  </si>
  <si>
    <r>
      <rPr>
        <b/>
        <sz val="9"/>
        <rFont val="Arial"/>
        <family val="2"/>
        <charset val="238"/>
      </rPr>
      <t xml:space="preserve"> - Stropy deskové</t>
    </r>
    <r>
      <rPr>
        <sz val="9"/>
        <rFont val="Arial"/>
        <family val="2"/>
        <charset val="238"/>
      </rPr>
      <t xml:space="preserve"> ze </t>
    </r>
    <r>
      <rPr>
        <b/>
        <sz val="9"/>
        <rFont val="Arial"/>
        <family val="2"/>
        <charset val="238"/>
      </rPr>
      <t xml:space="preserve">ŽB </t>
    </r>
    <r>
      <rPr>
        <sz val="9"/>
        <rFont val="Arial"/>
        <family val="2"/>
        <charset val="238"/>
      </rPr>
      <t>bez zvýšených nároků na prostředí tř.</t>
    </r>
    <r>
      <rPr>
        <b/>
        <sz val="9"/>
        <rFont val="Arial"/>
        <family val="2"/>
        <charset val="238"/>
      </rPr>
      <t xml:space="preserve"> C 30/37</t>
    </r>
    <r>
      <rPr>
        <sz val="9"/>
        <rFont val="Arial"/>
        <family val="2"/>
        <charset val="238"/>
      </rPr>
      <t xml:space="preserve"> - t</t>
    </r>
    <r>
      <rPr>
        <b/>
        <sz val="9"/>
        <rFont val="Arial"/>
        <family val="2"/>
        <charset val="238"/>
      </rPr>
      <t>l (220mm)</t>
    </r>
  </si>
  <si>
    <r>
      <t xml:space="preserve"> - Smykové lišty proti protlačení </t>
    </r>
    <r>
      <rPr>
        <sz val="9"/>
        <color indexed="10"/>
        <rFont val="Arial"/>
        <family val="2"/>
        <charset val="238"/>
      </rPr>
      <t xml:space="preserve">(systém halfen)  HDB-10/175-3/450 - ks 7 </t>
    </r>
    <r>
      <rPr>
        <b/>
        <sz val="9"/>
        <color indexed="10"/>
        <rFont val="Arial"/>
        <family val="2"/>
        <charset val="238"/>
      </rPr>
      <t/>
    </r>
  </si>
  <si>
    <r>
      <rPr>
        <b/>
        <sz val="9"/>
        <rFont val="Arial"/>
        <family val="2"/>
        <charset val="238"/>
      </rPr>
      <t xml:space="preserve">výměry </t>
    </r>
    <r>
      <rPr>
        <sz val="9"/>
        <rFont val="Arial"/>
        <family val="2"/>
        <charset val="238"/>
      </rPr>
      <t>; 64,10m2+ 32,50*0,22+ otvor (0,20+0,9)*2*0,22- světlík π*(2,654/2)²+stěny světlíku (0,80*3,14*2,654)*2+ atika (32,50-3,88)*0,37*2</t>
    </r>
  </si>
  <si>
    <r>
      <t xml:space="preserve"> - Zřízení bednění </t>
    </r>
    <r>
      <rPr>
        <sz val="9"/>
        <rFont val="Arial"/>
        <family val="2"/>
        <charset val="238"/>
      </rPr>
      <t>stropů deskových tl</t>
    </r>
    <r>
      <rPr>
        <b/>
        <sz val="9"/>
        <rFont val="Arial"/>
        <family val="2"/>
        <charset val="238"/>
      </rPr>
      <t xml:space="preserve"> </t>
    </r>
    <r>
      <rPr>
        <sz val="9"/>
        <rFont val="Arial"/>
        <family val="2"/>
        <charset val="238"/>
      </rPr>
      <t>(220mm)</t>
    </r>
    <r>
      <rPr>
        <b/>
        <sz val="9"/>
        <rFont val="Arial"/>
        <family val="2"/>
        <charset val="238"/>
      </rPr>
      <t xml:space="preserve"> </t>
    </r>
    <r>
      <rPr>
        <sz val="9"/>
        <rFont val="Arial"/>
        <family val="2"/>
        <charset val="238"/>
      </rPr>
      <t>přes 5 do 25 cm bez podpěrné kce</t>
    </r>
  </si>
  <si>
    <r>
      <rPr>
        <b/>
        <sz val="9"/>
        <rFont val="Arial"/>
        <family val="2"/>
        <charset val="238"/>
      </rPr>
      <t xml:space="preserve"> - Příplatek</t>
    </r>
    <r>
      <rPr>
        <sz val="9"/>
        <rFont val="Arial"/>
        <family val="2"/>
        <charset val="238"/>
      </rPr>
      <t xml:space="preserve"> za šikmé bednění stěn světlíku (0,80*</t>
    </r>
    <r>
      <rPr>
        <sz val="9"/>
        <rFont val="Calibri"/>
        <family val="2"/>
        <charset val="238"/>
      </rPr>
      <t>π</t>
    </r>
    <r>
      <rPr>
        <sz val="9"/>
        <rFont val="Arial"/>
        <family val="2"/>
        <charset val="238"/>
      </rPr>
      <t>3,14*2,654)*2</t>
    </r>
  </si>
  <si>
    <r>
      <t xml:space="preserve"> - </t>
    </r>
    <r>
      <rPr>
        <b/>
        <sz val="9"/>
        <rFont val="Arial"/>
        <family val="2"/>
        <charset val="238"/>
      </rPr>
      <t>Zřízení podpěrné konstr</t>
    </r>
    <r>
      <rPr>
        <sz val="9"/>
        <rFont val="Arial"/>
        <family val="2"/>
        <charset val="238"/>
      </rPr>
      <t>ukce stropů výšky do 4 m tl přes 15 do 25 cm</t>
    </r>
  </si>
  <si>
    <r>
      <rPr>
        <b/>
        <sz val="11"/>
        <color indexed="8"/>
        <rFont val="Calibri"/>
        <family val="2"/>
        <charset val="238"/>
      </rPr>
      <t xml:space="preserve">výměry </t>
    </r>
    <r>
      <rPr>
        <sz val="11"/>
        <color theme="1"/>
        <rFont val="Calibri"/>
        <family val="2"/>
        <charset val="238"/>
        <scheme val="minor"/>
      </rPr>
      <t xml:space="preserve">: (64,10m2 - otvor 0,20*0,9)*0,22- světlík </t>
    </r>
    <r>
      <rPr>
        <sz val="11"/>
        <color indexed="8"/>
        <rFont val="Calibri"/>
        <family val="2"/>
        <charset val="238"/>
      </rPr>
      <t>π*(2,654/2)²*0,22+stěny světlíku (0,80*0,15*π*2,654)+ atika (32,50-3,88)*0,37*0,15</t>
    </r>
  </si>
  <si>
    <r>
      <t xml:space="preserve"> - Výztuž stropů betonářskou ocelí  B500B
spodní desky nad 2.NP- </t>
    </r>
    <r>
      <rPr>
        <sz val="9"/>
        <rFont val="Arial"/>
        <family val="2"/>
        <charset val="238"/>
      </rPr>
      <t xml:space="preserve">podrobnosti </t>
    </r>
    <r>
      <rPr>
        <b/>
        <sz val="9"/>
        <rFont val="Arial"/>
        <family val="2"/>
        <charset val="238"/>
      </rPr>
      <t>viz v.č. D.1.2. 10</t>
    </r>
  </si>
  <si>
    <r>
      <t xml:space="preserve"> - Výztuž stropů betonářskou ocelí  B500B
horní desky nad 2.NP- </t>
    </r>
    <r>
      <rPr>
        <sz val="9"/>
        <rFont val="Arial"/>
        <family val="2"/>
        <charset val="238"/>
      </rPr>
      <t xml:space="preserve">podrobnosti </t>
    </r>
    <r>
      <rPr>
        <b/>
        <sz val="9"/>
        <rFont val="Arial"/>
        <family val="2"/>
        <charset val="238"/>
      </rPr>
      <t>viz v.č. D.1.2. 11</t>
    </r>
  </si>
  <si>
    <r>
      <t xml:space="preserve"> - Výztuž stropů svařovanými sítěmi Kari  Q188A -</t>
    </r>
    <r>
      <rPr>
        <sz val="9"/>
        <rFont val="Arial"/>
        <family val="2"/>
        <charset val="238"/>
      </rPr>
      <t xml:space="preserve"> podrobnosti viz v.č. D.1.2. 11</t>
    </r>
  </si>
  <si>
    <t>podrobnosti viz v.č.  D.1.2.13  (výztuž atiky a prstence pro světlík)</t>
  </si>
  <si>
    <r>
      <rPr>
        <b/>
        <sz val="9"/>
        <color indexed="10"/>
        <rFont val="Arial"/>
        <family val="2"/>
        <charset val="238"/>
      </rPr>
      <t xml:space="preserve"> - Výztuž nosníků</t>
    </r>
    <r>
      <rPr>
        <sz val="9"/>
        <color indexed="10"/>
        <rFont val="Arial"/>
        <family val="2"/>
        <charset val="238"/>
      </rPr>
      <t xml:space="preserve">, volných trámů nebo průvlaků volných trámů betonářskou ocelí </t>
    </r>
    <r>
      <rPr>
        <b/>
        <sz val="9"/>
        <color indexed="10"/>
        <rFont val="Arial"/>
        <family val="2"/>
        <charset val="238"/>
      </rPr>
      <t xml:space="preserve">B500B </t>
    </r>
    <r>
      <rPr>
        <sz val="9"/>
        <color indexed="10"/>
        <rFont val="Arial"/>
        <family val="2"/>
        <charset val="238"/>
      </rPr>
      <t>(výztuž desky nad 1</t>
    </r>
  </si>
  <si>
    <t xml:space="preserve"> - Stěny nosné ze ŽB tř. C 25/30 - tl 200mm</t>
  </si>
  <si>
    <t xml:space="preserve"> - Zřízení oboustranného bednění nosných stěn</t>
  </si>
  <si>
    <t xml:space="preserve"> - Stěny nosné ze ŽB tř. C 25/30</t>
  </si>
  <si>
    <t xml:space="preserve"> - Výztuž stěn betonářskou ocelí B500B</t>
  </si>
  <si>
    <r>
      <t xml:space="preserve">podrobnosti viz </t>
    </r>
    <r>
      <rPr>
        <b/>
        <sz val="9"/>
        <rFont val="Arial"/>
        <family val="2"/>
        <charset val="238"/>
      </rPr>
      <t xml:space="preserve">v.č. D.1.2. 20 </t>
    </r>
    <r>
      <rPr>
        <sz val="9"/>
        <rFont val="Arial"/>
        <family val="2"/>
        <charset val="238"/>
      </rPr>
      <t>-Tvar desky a stěn  věže</t>
    </r>
  </si>
  <si>
    <t>Tvar desky a stěny věže</t>
  </si>
  <si>
    <t>Obvodové s t ě n y + věž</t>
  </si>
  <si>
    <t xml:space="preserve"> - 3)  Pohledový beton -  hladký povrch -
jsou viditelné vnitřní stěny, konstrukce schodiště a vodorovné konstrukce; beton samozhutnitelný, musí mít povrch barevně jednotný a stálý (jednotné barevné tónování), rovný a bez viditelných pórů.  
 Architektonicko-stavební část- 
Podrobnosti viz Výkresová dokumentace a  
Technická zpráva strana 6 + 9 a příloha č.21drobnosti viz Technická zpráva strana 6 + 9 a příloha č.21</t>
  </si>
  <si>
    <t>341351411/P</t>
  </si>
  <si>
    <r>
      <rPr>
        <b/>
        <sz val="9"/>
        <color indexed="30"/>
        <rFont val="Arial"/>
        <family val="2"/>
        <charset val="238"/>
      </rPr>
      <t>Zřízení kruhového</t>
    </r>
    <r>
      <rPr>
        <sz val="9"/>
        <color indexed="30"/>
        <rFont val="Arial"/>
        <family val="2"/>
        <charset val="238"/>
      </rPr>
      <t xml:space="preserve"> oboustranného bednění </t>
    </r>
    <r>
      <rPr>
        <b/>
        <sz val="9"/>
        <color indexed="30"/>
        <rFont val="Arial"/>
        <family val="2"/>
        <charset val="238"/>
      </rPr>
      <t>rohů</t>
    </r>
    <r>
      <rPr>
        <sz val="9"/>
        <color indexed="30"/>
        <rFont val="Arial"/>
        <family val="2"/>
        <charset val="238"/>
      </rPr>
      <t xml:space="preserve"> nosných stěn 
</t>
    </r>
    <r>
      <rPr>
        <b/>
        <sz val="9"/>
        <color indexed="30"/>
        <rFont val="Arial"/>
        <family val="2"/>
        <charset val="238"/>
      </rPr>
      <t xml:space="preserve"> r do 1m</t>
    </r>
    <r>
      <rPr>
        <sz val="9"/>
        <color indexed="30"/>
        <rFont val="Arial"/>
        <family val="2"/>
        <charset val="238"/>
      </rPr>
      <t xml:space="preserve"> včetně.</t>
    </r>
  </si>
  <si>
    <r>
      <t xml:space="preserve">Dtto, avšak </t>
    </r>
    <r>
      <rPr>
        <b/>
        <sz val="9"/>
        <color indexed="30"/>
        <rFont val="Arial"/>
        <family val="2"/>
        <charset val="238"/>
      </rPr>
      <t>odstranění</t>
    </r>
  </si>
  <si>
    <t>výměra pro vnitřní plochu stěn : 28,0bm* v. 3,0 + ostění 2,27m2</t>
  </si>
  <si>
    <r>
      <rPr>
        <b/>
        <sz val="9"/>
        <color indexed="10"/>
        <rFont val="Arial"/>
        <family val="2"/>
        <charset val="238"/>
      </rPr>
      <t xml:space="preserve">Příplatek </t>
    </r>
    <r>
      <rPr>
        <sz val="9"/>
        <color indexed="10"/>
        <rFont val="Arial"/>
        <family val="2"/>
        <charset val="238"/>
      </rPr>
      <t xml:space="preserve">k cenám bednění stěn za </t>
    </r>
    <r>
      <rPr>
        <b/>
        <sz val="9"/>
        <color indexed="10"/>
        <rFont val="Arial"/>
        <family val="2"/>
        <charset val="238"/>
      </rPr>
      <t>pohledový beton hladký  (matrice polyuretanová) viz  poznámka č.3 Úvodu</t>
    </r>
    <r>
      <rPr>
        <sz val="9"/>
        <color indexed="10"/>
        <rFont val="Arial"/>
        <family val="2"/>
        <charset val="238"/>
      </rPr>
      <t xml:space="preserve"> a dále</t>
    </r>
    <r>
      <rPr>
        <b/>
        <sz val="9"/>
        <color indexed="10"/>
        <rFont val="Arial"/>
        <family val="2"/>
        <charset val="238"/>
      </rPr>
      <t xml:space="preserve"> . Podrobnosti </t>
    </r>
    <r>
      <rPr>
        <sz val="9"/>
        <color indexed="10"/>
        <rFont val="Arial"/>
        <family val="2"/>
        <charset val="238"/>
      </rPr>
      <t xml:space="preserve">viz </t>
    </r>
    <r>
      <rPr>
        <b/>
        <sz val="9"/>
        <color indexed="10"/>
        <rFont val="Arial"/>
        <family val="2"/>
        <charset val="238"/>
      </rPr>
      <t>T</t>
    </r>
    <r>
      <rPr>
        <sz val="9"/>
        <color indexed="10"/>
        <rFont val="Arial"/>
        <family val="2"/>
        <charset val="238"/>
      </rPr>
      <t xml:space="preserve">echnická </t>
    </r>
    <r>
      <rPr>
        <b/>
        <sz val="9"/>
        <color indexed="10"/>
        <rFont val="Arial"/>
        <family val="2"/>
        <charset val="238"/>
      </rPr>
      <t>z</t>
    </r>
    <r>
      <rPr>
        <sz val="9"/>
        <color indexed="10"/>
        <rFont val="Arial"/>
        <family val="2"/>
        <charset val="238"/>
      </rPr>
      <t>práva strana 6a 9. (podhledová plocha vnitřní - ve věži) ; výměra : 6,0bm*v. 3,00bm</t>
    </r>
  </si>
  <si>
    <t>konzultace Architekt</t>
  </si>
  <si>
    <r>
      <t xml:space="preserve"> - Výztuž </t>
    </r>
    <r>
      <rPr>
        <sz val="9"/>
        <rFont val="Arial"/>
        <family val="2"/>
        <charset val="238"/>
      </rPr>
      <t xml:space="preserve">stěn betonářskou ocelí B500B </t>
    </r>
  </si>
  <si>
    <t>St 4</t>
  </si>
  <si>
    <r>
      <t>výměra : v. 2,40* 2,80m2-</t>
    </r>
    <r>
      <rPr>
        <sz val="9"/>
        <color indexed="17"/>
        <rFont val="Arial"/>
        <family val="2"/>
        <charset val="238"/>
      </rPr>
      <t>(odpočet otvoru) dl.2,20*v.1,35*š.0,20</t>
    </r>
  </si>
  <si>
    <t xml:space="preserve">St 3 </t>
  </si>
  <si>
    <r>
      <t>výměra : v.5,30* 4,26m2-</t>
    </r>
    <r>
      <rPr>
        <sz val="9"/>
        <color indexed="17"/>
        <rFont val="Arial"/>
        <family val="2"/>
        <charset val="238"/>
      </rPr>
      <t>(odpočet otvorů) dl.0,835*v.5,20*š.0,20*2 - dl. 0,20*v.5,20*š.0,20</t>
    </r>
    <r>
      <rPr>
        <b/>
        <sz val="9"/>
        <color indexed="17"/>
        <rFont val="Arial"/>
        <family val="2"/>
        <charset val="238"/>
      </rPr>
      <t>-</t>
    </r>
    <r>
      <rPr>
        <sz val="9"/>
        <color indexed="17"/>
        <rFont val="Arial"/>
        <family val="2"/>
        <charset val="238"/>
      </rPr>
      <t xml:space="preserve"> dl.3,15*v.0,20*š.0,20</t>
    </r>
  </si>
  <si>
    <t>St 2</t>
  </si>
  <si>
    <r>
      <rPr>
        <b/>
        <sz val="9"/>
        <color indexed="17"/>
        <rFont val="Arial"/>
        <family val="2"/>
        <charset val="238"/>
      </rPr>
      <t>výměra : v. 2,70 * 2,80m2</t>
    </r>
    <r>
      <rPr>
        <sz val="9"/>
        <color indexed="17"/>
        <rFont val="Arial"/>
        <family val="2"/>
        <charset val="238"/>
      </rPr>
      <t>- (odpočet otvorů) dl 2,20*v.2,70*š.0,2</t>
    </r>
  </si>
  <si>
    <t>beton ve věži v místě tří desek. Výměra : 1,40m2*0,20*3</t>
  </si>
  <si>
    <r>
      <rPr>
        <sz val="9"/>
        <rFont val="Arial"/>
        <family val="2"/>
        <charset val="238"/>
      </rPr>
      <t>výměra</t>
    </r>
    <r>
      <rPr>
        <b/>
        <sz val="9"/>
        <rFont val="Arial"/>
        <family val="2"/>
        <charset val="238"/>
      </rPr>
      <t xml:space="preserve"> ; vnitřní a vnější obvod
St2 - 28,40m*2,70v. + St3-  28,40m*2,40 + St4- 41,40m*5,30</t>
    </r>
  </si>
  <si>
    <t>odpočet otvorů -((2,20*2,70*2)+(2,20*1,35*2)+(0,835*5,20*2*2+(0,20*5,20*2+3,15*0,20*2))</t>
  </si>
  <si>
    <t>přípočet ostění, nadpraží, parapet :
 ((2,20+2,70*2)*0,20)+(2,20*2+1,35*2)*0,20+
(0,835+5,20*2)*0,20*2+(0,20+5,20*2+3,15*2+0,20*2)*0,20)</t>
  </si>
  <si>
    <t>odpočet zaoblených rohů - (4,08+17,27+8,48)m2</t>
  </si>
  <si>
    <t>beton ve věži v místě desky . Výměra : 13,80*0,20*3</t>
  </si>
  <si>
    <t>341351411</t>
  </si>
  <si>
    <t>je výměra 2x</t>
  </si>
  <si>
    <r>
      <rPr>
        <b/>
        <sz val="9"/>
        <color indexed="30"/>
        <rFont val="Arial"/>
        <family val="2"/>
        <charset val="238"/>
      </rPr>
      <t>Zřízení kruhového</t>
    </r>
    <r>
      <rPr>
        <sz val="9"/>
        <color indexed="30"/>
        <rFont val="Arial"/>
        <family val="2"/>
        <charset val="238"/>
      </rPr>
      <t xml:space="preserve"> oboustranného bednění </t>
    </r>
    <r>
      <rPr>
        <b/>
        <sz val="9"/>
        <color indexed="30"/>
        <rFont val="Arial"/>
        <family val="2"/>
        <charset val="238"/>
      </rPr>
      <t>rohů</t>
    </r>
    <r>
      <rPr>
        <sz val="9"/>
        <color indexed="30"/>
        <rFont val="Arial"/>
        <family val="2"/>
        <charset val="238"/>
      </rPr>
      <t xml:space="preserve"> nosných stěn 
</t>
    </r>
    <r>
      <rPr>
        <b/>
        <sz val="9"/>
        <color indexed="30"/>
        <rFont val="Arial"/>
        <family val="2"/>
        <charset val="238"/>
      </rPr>
      <t xml:space="preserve"> r do 1m</t>
    </r>
    <r>
      <rPr>
        <sz val="9"/>
        <color indexed="30"/>
        <rFont val="Arial"/>
        <family val="2"/>
        <charset val="238"/>
      </rPr>
      <t xml:space="preserve"> včetně. Výměra ;  (4,08+17,27+8,48)m2</t>
    </r>
  </si>
  <si>
    <t>vnitřní poloměr atyp (r) 1000mm -  2ks  výseč kruhu
výměra ;  dl. 800mm *5,30*2</t>
  </si>
  <si>
    <t>341351412</t>
  </si>
  <si>
    <t>výměra pro vnitřní plochu stěn : St 3 - 20,10bm*v.5,30 + 
St 2 - 3,27bm*2,70+3,27bm*2,40</t>
  </si>
  <si>
    <t>odpočet otvorů (0,835*5,20*2+(0,20*5,20+3,15*0,20))</t>
  </si>
  <si>
    <t>přípočet ostění: (0,835+5,20*2)*0,20*2+(0,20+5,20*2+3,15*2+0,20*2)*0,20</t>
  </si>
  <si>
    <r>
      <rPr>
        <b/>
        <sz val="9"/>
        <color indexed="10"/>
        <rFont val="Arial"/>
        <family val="2"/>
        <charset val="238"/>
      </rPr>
      <t>Příplatek k cenám bednění stěn</t>
    </r>
    <r>
      <rPr>
        <sz val="9"/>
        <color indexed="10"/>
        <rFont val="Arial"/>
        <family val="2"/>
        <charset val="238"/>
      </rPr>
      <t xml:space="preserve"> za pohledový beton hladký (podhledová plocha vnitřní - ve věži)) výměra : 6,0bm*5,74</t>
    </r>
  </si>
  <si>
    <t xml:space="preserve"> D e s k y  a  s t ě n y   věže</t>
  </si>
  <si>
    <r>
      <rPr>
        <b/>
        <sz val="9"/>
        <rFont val="Arial"/>
        <family val="2"/>
        <charset val="238"/>
      </rPr>
      <t>Stropy deskové</t>
    </r>
    <r>
      <rPr>
        <sz val="9"/>
        <rFont val="Arial"/>
        <family val="2"/>
        <charset val="238"/>
      </rPr>
      <t xml:space="preserve"> ze </t>
    </r>
    <r>
      <rPr>
        <b/>
        <sz val="9"/>
        <rFont val="Arial"/>
        <family val="2"/>
        <charset val="238"/>
      </rPr>
      <t xml:space="preserve">ŽB </t>
    </r>
    <r>
      <rPr>
        <sz val="9"/>
        <rFont val="Arial"/>
        <family val="2"/>
        <charset val="238"/>
      </rPr>
      <t xml:space="preserve"> tř.</t>
    </r>
    <r>
      <rPr>
        <b/>
        <sz val="9"/>
        <rFont val="Arial"/>
        <family val="2"/>
        <charset val="238"/>
      </rPr>
      <t xml:space="preserve"> C 25/30</t>
    </r>
    <r>
      <rPr>
        <sz val="9"/>
        <rFont val="Arial"/>
        <family val="2"/>
        <charset val="238"/>
      </rPr>
      <t xml:space="preserve"> -</t>
    </r>
    <r>
      <rPr>
        <b/>
        <sz val="9"/>
        <rFont val="Arial"/>
        <family val="2"/>
        <charset val="238"/>
      </rPr>
      <t xml:space="preserve"> tl. 150mm</t>
    </r>
  </si>
  <si>
    <r>
      <rPr>
        <b/>
        <sz val="9"/>
        <rFont val="Arial"/>
        <family val="2"/>
        <charset val="238"/>
      </rPr>
      <t xml:space="preserve">výměra </t>
    </r>
    <r>
      <rPr>
        <sz val="9"/>
        <rFont val="Arial"/>
        <family val="2"/>
        <charset val="238"/>
      </rPr>
      <t>včetně šikmého protažení  :
 2,68bm*2,52bm*0,15+0,82*2,90*0,15</t>
    </r>
  </si>
  <si>
    <t>odpočet otvoru - 0,60*0,80*0,15</t>
  </si>
  <si>
    <t>výměra : 2,68*2,52+(2,68+2,52)*2*0,15+šikmé protažení (0,82+0,65)*2,90</t>
  </si>
  <si>
    <t>odpočet pro výlez - deska 0,60*0,80</t>
  </si>
  <si>
    <t>dtto, avšak přípočet boky otvoru - (0,60+0,80)*2*0,15</t>
  </si>
  <si>
    <t>Plánovací cena M</t>
  </si>
  <si>
    <r>
      <rPr>
        <b/>
        <sz val="9"/>
        <color indexed="30"/>
        <rFont val="Arial"/>
        <family val="2"/>
        <charset val="238"/>
      </rPr>
      <t xml:space="preserve">Příplatek </t>
    </r>
    <r>
      <rPr>
        <sz val="9"/>
        <color indexed="30"/>
        <rFont val="Arial"/>
        <family val="2"/>
        <charset val="238"/>
      </rPr>
      <t xml:space="preserve">k cenám bednění stěn za </t>
    </r>
    <r>
      <rPr>
        <b/>
        <sz val="9"/>
        <color indexed="30"/>
        <rFont val="Arial"/>
        <family val="2"/>
        <charset val="238"/>
      </rPr>
      <t>pohledový beton hladký   viz  poznámka č.3 Úvodu</t>
    </r>
    <r>
      <rPr>
        <sz val="9"/>
        <color indexed="30"/>
        <rFont val="Arial"/>
        <family val="2"/>
        <charset val="238"/>
      </rPr>
      <t xml:space="preserve"> a dále</t>
    </r>
    <r>
      <rPr>
        <b/>
        <sz val="9"/>
        <color indexed="30"/>
        <rFont val="Arial"/>
        <family val="2"/>
        <charset val="238"/>
      </rPr>
      <t xml:space="preserve"> . </t>
    </r>
    <r>
      <rPr>
        <sz val="9"/>
        <color indexed="30"/>
        <rFont val="Arial"/>
        <family val="2"/>
        <charset val="238"/>
      </rPr>
      <t xml:space="preserve">Podrobnosti </t>
    </r>
    <r>
      <rPr>
        <sz val="9"/>
        <color indexed="30"/>
        <rFont val="Arial"/>
        <family val="2"/>
        <charset val="238"/>
      </rPr>
      <t xml:space="preserve">viz </t>
    </r>
    <r>
      <rPr>
        <b/>
        <sz val="9"/>
        <color indexed="30"/>
        <rFont val="Arial"/>
        <family val="2"/>
        <charset val="238"/>
      </rPr>
      <t>Technická zpráva strana 6a 9</t>
    </r>
    <r>
      <rPr>
        <sz val="9"/>
        <color indexed="30"/>
        <rFont val="Arial"/>
        <family val="2"/>
        <charset val="238"/>
      </rPr>
      <t>. (podhledová plocha vnitřní - ve věži)
výměra : 2,68*2,52</t>
    </r>
  </si>
  <si>
    <t>Stěny nosné ze ŽB tř. C 25/30 tl. 200mm</t>
  </si>
  <si>
    <t>výměra : 1,60m2* v. (8,55+0,20)+(0,72m2*v. 0,51+0,20)</t>
  </si>
  <si>
    <t>odpočet otvorů - dveře (1,04*2,35) - okna (1,74*1,030*2+2,28*1,03)*0,20</t>
  </si>
  <si>
    <t>výměra ;( vnitřní i vnější) 16,35bm*v.8,75</t>
  </si>
  <si>
    <t>odpočet otvorů-okna ks2  -(1,74*2+2,28)*v.1,03*2</t>
  </si>
  <si>
    <t>odpočet otvorů-dveře ks1  -(1,04*v.2,35)*2</t>
  </si>
  <si>
    <t>přípočet ostění(1,74*2+2,28+v.1,03*3)*2*0,20+(1,04+2,35)*2*0,20</t>
  </si>
  <si>
    <t>č.v. D.1.2.20/ řez C-C - parapet ; 0,71*2,90*2</t>
  </si>
  <si>
    <r>
      <rPr>
        <b/>
        <sz val="9"/>
        <color indexed="10"/>
        <rFont val="Arial"/>
        <family val="2"/>
        <charset val="238"/>
      </rPr>
      <t>Příplatek k cenám bednění stěn</t>
    </r>
    <r>
      <rPr>
        <sz val="9"/>
        <color indexed="10"/>
        <rFont val="Arial"/>
        <family val="2"/>
        <charset val="238"/>
      </rPr>
      <t xml:space="preserve"> za pohledový beton hladký (podhledová plocha vnitřní - ve věži) ;  </t>
    </r>
  </si>
  <si>
    <t>výměra : dl.6,92bm*v.8,75+0,71*2,90</t>
  </si>
  <si>
    <t>odpočet otvorů-okna ks2  -(1,74*2+2,28)*v.1,03</t>
  </si>
  <si>
    <t>odpočet otvorů-dveře ks1  -(1,04*v.2,35)*1</t>
  </si>
  <si>
    <t>přípočet ostění(1,74*2+2,28+v.1,03*3)*2*0,20*(1,04+2,35)*2*0,2</t>
  </si>
  <si>
    <t>č.v. D.1.2.20/ řez C-C ; parapet ; 0,71*2,90</t>
  </si>
  <si>
    <t xml:space="preserve">Příplatek k cenám bednění </t>
  </si>
  <si>
    <r>
      <t xml:space="preserve">podrobnosti viz </t>
    </r>
    <r>
      <rPr>
        <b/>
        <sz val="9"/>
        <color indexed="10"/>
        <rFont val="Arial"/>
        <family val="2"/>
        <charset val="238"/>
      </rPr>
      <t xml:space="preserve">v.č. D.1.2. 21 </t>
    </r>
    <r>
      <rPr>
        <sz val="9"/>
        <color indexed="10"/>
        <rFont val="Arial"/>
        <family val="2"/>
        <charset val="238"/>
      </rPr>
      <t xml:space="preserve">
 výztuž stěn v.č. D.1.2. 21 - výztuž stěn a desky věže</t>
    </r>
  </si>
  <si>
    <t>312362021</t>
  </si>
  <si>
    <t>Výztuž nosných zdí svařovanými sítěmi Kari KH 20</t>
  </si>
  <si>
    <t>Tvar sloupu SL 1  o Ø300mm</t>
  </si>
  <si>
    <r>
      <t xml:space="preserve">podrobnosti viz </t>
    </r>
    <r>
      <rPr>
        <b/>
        <sz val="9"/>
        <rFont val="Arial"/>
        <family val="2"/>
        <charset val="238"/>
      </rPr>
      <t xml:space="preserve">v.č. D.1.2. 22 </t>
    </r>
    <r>
      <rPr>
        <sz val="9"/>
        <rFont val="Arial"/>
        <family val="2"/>
        <charset val="238"/>
      </rPr>
      <t>-Tvar sloupu SL 1</t>
    </r>
  </si>
  <si>
    <t>330321410</t>
  </si>
  <si>
    <t>Sloupy nebo pilíře ze ŽB tř. C 25/30 bez výztuže</t>
  </si>
  <si>
    <t>výměra : 3,14*0,15*0,15*3,00</t>
  </si>
  <si>
    <r>
      <rPr>
        <b/>
        <sz val="9"/>
        <rFont val="Arial"/>
        <family val="2"/>
        <charset val="238"/>
      </rPr>
      <t xml:space="preserve"> pokračování sloupu až na úroveň 
od-0,100 docca+11,80 ; </t>
    </r>
    <r>
      <rPr>
        <sz val="9"/>
        <rFont val="Arial"/>
        <family val="2"/>
        <charset val="238"/>
      </rPr>
      <t xml:space="preserve">
</t>
    </r>
    <r>
      <rPr>
        <b/>
        <sz val="9"/>
        <rFont val="Arial"/>
        <family val="2"/>
        <charset val="238"/>
      </rPr>
      <t>podrobnosti</t>
    </r>
    <r>
      <rPr>
        <sz val="9"/>
        <rFont val="Arial"/>
        <family val="2"/>
        <charset val="238"/>
      </rPr>
      <t xml:space="preserve"> viz realizační dokumentace 
výměra : 3,14*0,15*0,15*11,90</t>
    </r>
  </si>
  <si>
    <t>332352107</t>
  </si>
  <si>
    <t>Zřízení bednění z papírových trubic sloupů z pohledového betonu svislých nebo šikmých sloupů kruhového průřezu průměru  300 mm</t>
  </si>
  <si>
    <t>výměra : 2*3,14*0,15*3,0</t>
  </si>
  <si>
    <r>
      <t xml:space="preserve"> Dtto, avšak </t>
    </r>
    <r>
      <rPr>
        <b/>
        <sz val="9"/>
        <rFont val="Arial"/>
        <family val="2"/>
        <charset val="238"/>
      </rPr>
      <t xml:space="preserve">pokračování sloupu až na úroveň od-0,100 docca+11,80 ; </t>
    </r>
    <r>
      <rPr>
        <sz val="9"/>
        <rFont val="Arial"/>
        <family val="2"/>
        <charset val="238"/>
      </rPr>
      <t>podrobnosti viz realizační dokumentace výměra :2* 3,14*0,15*11,90</t>
    </r>
  </si>
  <si>
    <t>332352191</t>
  </si>
  <si>
    <t>Odstranění bednění z papírových trubic svislých, šikmých sloupů kruhového průřezu průměru 300 mm</t>
  </si>
  <si>
    <t xml:space="preserve"> pokračování sloupu až na úroveň </t>
  </si>
  <si>
    <r>
      <t xml:space="preserve"> Dtto, avšak </t>
    </r>
    <r>
      <rPr>
        <b/>
        <sz val="9"/>
        <rFont val="Arial"/>
        <family val="2"/>
        <charset val="238"/>
      </rPr>
      <t xml:space="preserve">pokračování sloupu až na úroveň od-0,100 docca+11,80 </t>
    </r>
    <r>
      <rPr>
        <sz val="9"/>
        <rFont val="Arial"/>
        <family val="2"/>
        <charset val="238"/>
      </rPr>
      <t>; podrobnosti viz realizační dokumentace výměra</t>
    </r>
  </si>
  <si>
    <r>
      <t xml:space="preserve"> Dtto, avšak </t>
    </r>
    <r>
      <rPr>
        <b/>
        <sz val="9"/>
        <rFont val="Arial"/>
        <family val="2"/>
        <charset val="238"/>
      </rPr>
      <t xml:space="preserve">pokračování sloupu až na úroveň od-0,100 docca+11,80 </t>
    </r>
    <r>
      <rPr>
        <sz val="9"/>
        <rFont val="Arial"/>
        <family val="2"/>
        <charset val="238"/>
      </rPr>
      <t xml:space="preserve">; podrobnosti viz realizační dokumentace </t>
    </r>
  </si>
  <si>
    <t>Tvar sloupu SL2</t>
  </si>
  <si>
    <r>
      <t xml:space="preserve">podrobnosti viz </t>
    </r>
    <r>
      <rPr>
        <b/>
        <sz val="9"/>
        <rFont val="Arial"/>
        <family val="2"/>
        <charset val="238"/>
      </rPr>
      <t xml:space="preserve">v.č. D.1.2. 23 </t>
    </r>
    <r>
      <rPr>
        <sz val="9"/>
        <rFont val="Arial"/>
        <family val="2"/>
        <charset val="238"/>
      </rPr>
      <t>-</t>
    </r>
    <r>
      <rPr>
        <b/>
        <sz val="9"/>
        <rFont val="Arial"/>
        <family val="2"/>
        <charset val="238"/>
      </rPr>
      <t>Tvar sloupu SL 2 o □300/300mm</t>
    </r>
  </si>
  <si>
    <t>výměra : 0,30*0,30*3,00</t>
  </si>
  <si>
    <t>výměra : 0,30*4*3,0</t>
  </si>
  <si>
    <r>
      <rPr>
        <b/>
        <sz val="9"/>
        <color indexed="10"/>
        <rFont val="Arial"/>
        <family val="2"/>
        <charset val="238"/>
      </rPr>
      <t>Příplatek k cenám bednění stěn</t>
    </r>
    <r>
      <rPr>
        <sz val="9"/>
        <color indexed="10"/>
        <rFont val="Arial"/>
        <family val="2"/>
        <charset val="238"/>
      </rPr>
      <t xml:space="preserve"> za pohledový beton hladký </t>
    </r>
  </si>
  <si>
    <t>Tvar sloupu SL3</t>
  </si>
  <si>
    <r>
      <t xml:space="preserve">podrobnosti viz </t>
    </r>
    <r>
      <rPr>
        <b/>
        <sz val="9"/>
        <rFont val="Arial"/>
        <family val="2"/>
        <charset val="238"/>
      </rPr>
      <t>v.č. D.1.2. 23 -Tvar sloupu SL 3 o Ø250mm</t>
    </r>
  </si>
  <si>
    <t>výměra : 3,14*0,125*0,125*2,70</t>
  </si>
  <si>
    <t>Zřízení bednění z papírových trubic sloupů z pohledového betonu svislých nebo šikmých sloupů kruhového průřezu průměru  250 mm</t>
  </si>
  <si>
    <t>výměra : 2*3,14*0,125*2,70</t>
  </si>
  <si>
    <t>Odstranění bednění z papírových trubic svislých, šikmých sloupů kruhového průřezu průměru 250mm</t>
  </si>
  <si>
    <t>Tvar sloupu SL4</t>
  </si>
  <si>
    <t>výměra : 3,14*0,125*0,125*2,40</t>
  </si>
  <si>
    <t>výměra : 2*3,14*0,125*2,40</t>
  </si>
  <si>
    <t>S l o u p y   SL1 + SL2 + SL3 + SL4</t>
  </si>
  <si>
    <r>
      <rPr>
        <b/>
        <sz val="9"/>
        <color indexed="8"/>
        <rFont val="Arial"/>
        <family val="2"/>
        <charset val="238"/>
      </rPr>
      <t xml:space="preserve"> - Zakládací vrstva příček </t>
    </r>
    <r>
      <rPr>
        <sz val="9"/>
        <color indexed="8"/>
        <rFont val="Arial"/>
        <family val="2"/>
        <charset val="238"/>
      </rPr>
      <t>tl 115 mm z vápenopískových vyrovnávacích tvárnic</t>
    </r>
  </si>
  <si>
    <t>příčky - výměra : 
(6,70+2,49+0,115+2,24+1,65+2,535*2+2,20*2-0,30*2)+(1,135+0,95+0,90)
předstěny  - výměra ; (1,135+0,95+0,90)</t>
  </si>
  <si>
    <r>
      <rPr>
        <b/>
        <sz val="9"/>
        <color indexed="8"/>
        <rFont val="Arial"/>
        <family val="2"/>
        <charset val="238"/>
      </rPr>
      <t xml:space="preserve"> - Příčka z vápenopískových</t>
    </r>
    <r>
      <rPr>
        <sz val="9"/>
        <color indexed="8"/>
        <rFont val="Arial"/>
        <family val="2"/>
        <charset val="238"/>
      </rPr>
      <t xml:space="preserve"> přesných plných tvárnic 8DF do P15 tl 115 mm</t>
    </r>
  </si>
  <si>
    <t>výměra :
 (6,70+2,49+0,115+2,24+1,65+2,535*2+2,20*2-0,30*2)*(0,19+2,40+0,35)</t>
  </si>
  <si>
    <t>odpočet otvorů; -( 1,10*2,10+0,80*2,10*3+0,70*2,10*2)</t>
  </si>
  <si>
    <r>
      <t xml:space="preserve"> - Zdivo z </t>
    </r>
    <r>
      <rPr>
        <b/>
        <sz val="9"/>
        <color indexed="8"/>
        <rFont val="Arial"/>
        <family val="2"/>
        <charset val="238"/>
      </rPr>
      <t>vápenopískových</t>
    </r>
    <r>
      <rPr>
        <sz val="9"/>
        <color indexed="8"/>
        <rFont val="Arial"/>
        <family val="2"/>
        <charset val="238"/>
      </rPr>
      <t> přesných plných </t>
    </r>
    <r>
      <rPr>
        <b/>
        <sz val="9"/>
        <color indexed="8"/>
        <rFont val="Arial"/>
        <family val="2"/>
        <charset val="238"/>
      </rPr>
      <t>tvárnic</t>
    </r>
    <r>
      <rPr>
        <sz val="9"/>
        <color indexed="8"/>
        <rFont val="Arial"/>
        <family val="2"/>
        <charset val="238"/>
      </rPr>
      <t xml:space="preserve"> 7DF přes P15 do P25 tl 200 mm -1.PP -  zděný </t>
    </r>
    <r>
      <rPr>
        <b/>
        <sz val="9"/>
        <color indexed="8"/>
        <rFont val="Arial"/>
        <family val="2"/>
        <charset val="238"/>
      </rPr>
      <t>parape</t>
    </r>
    <r>
      <rPr>
        <sz val="9"/>
        <color indexed="8"/>
        <rFont val="Arial"/>
        <family val="2"/>
        <charset val="238"/>
      </rPr>
      <t>t v. 700mm (stavební stěhovací otvor). Výměra ; 1,20*0,70</t>
    </r>
  </si>
  <si>
    <r>
      <t xml:space="preserve"> - Předstěna </t>
    </r>
    <r>
      <rPr>
        <sz val="9"/>
        <color indexed="8"/>
        <rFont val="Arial"/>
        <family val="2"/>
        <charset val="238"/>
      </rPr>
      <t>(u geberitů m.č. 0.5+ 0.6+0.3</t>
    </r>
    <r>
      <rPr>
        <b/>
        <sz val="9"/>
        <color indexed="8"/>
        <rFont val="Arial"/>
        <family val="2"/>
        <charset val="238"/>
      </rPr>
      <t xml:space="preserve">) z tvárnic  </t>
    </r>
    <r>
      <rPr>
        <sz val="9"/>
        <color indexed="8"/>
        <rFont val="Arial"/>
        <family val="2"/>
        <charset val="238"/>
      </rPr>
      <t> </t>
    </r>
    <r>
      <rPr>
        <b/>
        <sz val="9"/>
        <color indexed="8"/>
        <rFont val="Arial"/>
        <family val="2"/>
        <charset val="238"/>
      </rPr>
      <t>vápenopískových</t>
    </r>
    <r>
      <rPr>
        <sz val="9"/>
        <color indexed="8"/>
        <rFont val="Arial"/>
        <family val="2"/>
        <charset val="238"/>
      </rPr>
      <t> přesných plných do P15, tl 100 mm</t>
    </r>
  </si>
  <si>
    <r>
      <t xml:space="preserve"> (0,95+1,135)*</t>
    </r>
    <r>
      <rPr>
        <sz val="7"/>
        <color indexed="8"/>
        <rFont val="Arial"/>
        <family val="2"/>
        <charset val="238"/>
      </rPr>
      <t>cca v.</t>
    </r>
    <r>
      <rPr>
        <sz val="9"/>
        <color indexed="8"/>
        <rFont val="Arial"/>
        <family val="2"/>
        <charset val="238"/>
      </rPr>
      <t>(0,19+2,50)+(0,90*v.0,60)</t>
    </r>
  </si>
  <si>
    <r>
      <t xml:space="preserve"> - Ukotvení příček </t>
    </r>
    <r>
      <rPr>
        <sz val="9"/>
        <rFont val="Arial"/>
        <family val="2"/>
        <charset val="238"/>
      </rPr>
      <t>polyuretanovou pěnou přes tl.100mm (s</t>
    </r>
    <r>
      <rPr>
        <sz val="8"/>
        <rFont val="Arial"/>
        <family val="2"/>
        <charset val="238"/>
      </rPr>
      <t>vislé) . výměra : (v. 2,40+0,35)*11</t>
    </r>
  </si>
  <si>
    <t>Plánovací cena M+D</t>
  </si>
  <si>
    <r>
      <rPr>
        <b/>
        <sz val="9"/>
        <rFont val="Arial"/>
        <family val="2"/>
        <charset val="238"/>
      </rPr>
      <t xml:space="preserve"> - Kluzné napojení  ke stropu- strop/příčka (viz TZ)</t>
    </r>
    <r>
      <rPr>
        <sz val="9"/>
        <rFont val="Arial"/>
        <family val="2"/>
        <charset val="238"/>
      </rPr>
      <t xml:space="preserve">
Příčky u stropu budou odděleny pružně,dilatačně. 
Spára mezi stropem a stěnou cca 30mm se vyplní pružnou vložkou z  EPS150 s bandáží a při omítání se u stropu  prořízne a  zatmelí trvale pružným tmelem.
 výměra: 6,70+4,845+1,65+2,535*2+2,20*2-0,60</t>
    </r>
  </si>
  <si>
    <t>317151102/P</t>
  </si>
  <si>
    <r>
      <rPr>
        <b/>
        <sz val="9"/>
        <rFont val="Arial"/>
        <family val="2"/>
        <charset val="238"/>
      </rPr>
      <t xml:space="preserve"> - Překlad vápenopískový </t>
    </r>
    <r>
      <rPr>
        <sz val="9"/>
        <rFont val="Arial"/>
        <family val="2"/>
        <charset val="238"/>
      </rPr>
      <t>uložený do maltového lože pro otvor 700mm</t>
    </r>
  </si>
  <si>
    <t>317151104/P</t>
  </si>
  <si>
    <r>
      <rPr>
        <b/>
        <sz val="9"/>
        <rFont val="Arial"/>
        <family val="2"/>
        <charset val="238"/>
      </rPr>
      <t xml:space="preserve"> - Překlad vápenopískový</t>
    </r>
    <r>
      <rPr>
        <sz val="9"/>
        <rFont val="Arial"/>
        <family val="2"/>
        <charset val="238"/>
      </rPr>
      <t xml:space="preserve"> uložený do maltového lože pro otvor 800mm</t>
    </r>
  </si>
  <si>
    <r>
      <rPr>
        <b/>
        <sz val="9"/>
        <rFont val="Arial"/>
        <family val="2"/>
        <charset val="238"/>
      </rPr>
      <t xml:space="preserve"> - Překlad vápenopískový </t>
    </r>
    <r>
      <rPr>
        <sz val="9"/>
        <rFont val="Arial"/>
        <family val="2"/>
        <charset val="238"/>
      </rPr>
      <t>uložený do maltového lože pro otvor 1100mm</t>
    </r>
  </si>
  <si>
    <r>
      <t xml:space="preserve"> - </t>
    </r>
    <r>
      <rPr>
        <sz val="9"/>
        <rFont val="Arial"/>
        <family val="2"/>
        <charset val="238"/>
      </rPr>
      <t xml:space="preserve"> pod VZT m.č.</t>
    </r>
  </si>
  <si>
    <r>
      <t xml:space="preserve"> - </t>
    </r>
    <r>
      <rPr>
        <b/>
        <sz val="9"/>
        <color indexed="8"/>
        <rFont val="Arial"/>
        <family val="2"/>
        <charset val="238"/>
      </rPr>
      <t xml:space="preserve">Celoplošné vyrovnání </t>
    </r>
    <r>
      <rPr>
        <sz val="9"/>
        <color indexed="8"/>
        <rFont val="Arial"/>
        <family val="2"/>
        <charset val="238"/>
      </rPr>
      <t xml:space="preserve">povrchu (beton a pohledové vápenopískové zdivo) vhodnou omítkou, povrch zbaven nečistot a mastnoty před provedením nátěru modifikovanou </t>
    </r>
    <r>
      <rPr>
        <b/>
        <sz val="9"/>
        <color indexed="8"/>
        <rFont val="Arial"/>
        <family val="2"/>
        <charset val="238"/>
      </rPr>
      <t>cementovou</t>
    </r>
    <r>
      <rPr>
        <sz val="9"/>
        <color indexed="8"/>
        <rFont val="Arial"/>
        <family val="2"/>
        <charset val="238"/>
      </rPr>
      <t> </t>
    </r>
    <r>
      <rPr>
        <b/>
        <sz val="9"/>
        <color indexed="8"/>
        <rFont val="Arial"/>
        <family val="2"/>
        <charset val="238"/>
      </rPr>
      <t>stěrkou</t>
    </r>
    <r>
      <rPr>
        <sz val="9"/>
        <color indexed="8"/>
        <rFont val="Arial"/>
        <family val="2"/>
        <charset val="238"/>
      </rPr>
      <t xml:space="preserve"> cca tl do 3 mm </t>
    </r>
  </si>
  <si>
    <t xml:space="preserve">v.č. D.1.12.1.03 / výměra; </t>
  </si>
  <si>
    <t>m.č. 0.4 /   (2,995+2,20)*2*2,45-(0,80*2,10+0,70*2)</t>
  </si>
  <si>
    <t xml:space="preserve">m.č.0.5 /  (1,65+0,95)*2*2,45-0,70*2,10 </t>
  </si>
  <si>
    <t xml:space="preserve">m.č.0.6 /  (1,65+1,1135)*2*2,45-0,70*2,10 </t>
  </si>
  <si>
    <r>
      <t xml:space="preserve">m.č.0.1 /  (1,20*0,70) </t>
    </r>
    <r>
      <rPr>
        <sz val="8"/>
        <rFont val="Arial"/>
        <family val="2"/>
        <charset val="238"/>
      </rPr>
      <t>(stavební stěhovací otvor)</t>
    </r>
  </si>
  <si>
    <t>předstěna m.č.0.5+0.6+0.3 / (0,95+1,135)*cca v. (0,19+2,50)+(0,90*v.0,60+0,15*0,90)</t>
  </si>
  <si>
    <r>
      <t xml:space="preserve"> - </t>
    </r>
    <r>
      <rPr>
        <sz val="8"/>
        <rFont val="Arial"/>
        <family val="2"/>
        <charset val="238"/>
      </rPr>
      <t xml:space="preserve">dodávka+aplikace, </t>
    </r>
    <r>
      <rPr>
        <b/>
        <sz val="9"/>
        <rFont val="Arial"/>
        <family val="2"/>
        <charset val="238"/>
      </rPr>
      <t>Cementová stěrka</t>
    </r>
    <r>
      <rPr>
        <sz val="9"/>
        <rFont val="Arial"/>
        <family val="2"/>
        <charset val="238"/>
      </rPr>
      <t xml:space="preserve"> v tl. cca 3mm na vyrovnaný povrch stěn včetně penetrace a finálního laku</t>
    </r>
  </si>
  <si>
    <r>
      <rPr>
        <b/>
        <sz val="9"/>
        <rFont val="Arial"/>
        <family val="2"/>
        <charset val="238"/>
      </rPr>
      <t xml:space="preserve"> - Přirážka na zaoblení </t>
    </r>
    <r>
      <rPr>
        <sz val="9"/>
        <rFont val="Arial"/>
        <family val="2"/>
        <charset val="238"/>
      </rPr>
      <t>pro cementovou stěrku a  vyrovnání povrchu. Výměra: m.č. 0.6 : 1,0*2,40*2</t>
    </r>
  </si>
  <si>
    <r>
      <t xml:space="preserve"> - </t>
    </r>
    <r>
      <rPr>
        <b/>
        <sz val="9"/>
        <color indexed="8"/>
        <rFont val="Arial"/>
        <family val="2"/>
        <charset val="238"/>
      </rPr>
      <t>Sádrová</t>
    </r>
    <r>
      <rPr>
        <sz val="9"/>
        <color indexed="8"/>
        <rFont val="Arial"/>
        <family val="2"/>
        <charset val="238"/>
      </rPr>
      <t xml:space="preserve"> omítka hladká jednovrstvá vnitřních stropů rovných nanášená ručně</t>
    </r>
  </si>
  <si>
    <t>výměra: 6,70*4,235</t>
  </si>
  <si>
    <r>
      <t xml:space="preserve"> - Příplatek</t>
    </r>
    <r>
      <rPr>
        <sz val="9"/>
        <color indexed="8"/>
        <rFont val="Arial"/>
        <family val="2"/>
        <charset val="238"/>
      </rPr>
      <t> k omítce za provádění zaoblených ploch poloměru přes 100 mm</t>
    </r>
  </si>
  <si>
    <t>Dokončující konstrukce a práce</t>
  </si>
  <si>
    <r>
      <t xml:space="preserve"> - </t>
    </r>
    <r>
      <rPr>
        <b/>
        <sz val="10"/>
        <rFont val="Arial"/>
        <family val="2"/>
        <charset val="238"/>
      </rPr>
      <t>Prostupy nosnou zdí</t>
    </r>
    <r>
      <rPr>
        <sz val="10"/>
        <rFont val="Arial"/>
        <family val="2"/>
        <charset val="238"/>
      </rPr>
      <t xml:space="preserve"> v chráničce proti vodotěsné propustnosti  </t>
    </r>
    <r>
      <rPr>
        <sz val="7"/>
        <rFont val="Arial"/>
        <family val="2"/>
        <charset val="238"/>
      </rPr>
      <t>(podrobnosti viz prováděcí dokumentace)</t>
    </r>
  </si>
  <si>
    <t xml:space="preserve">ks </t>
  </si>
  <si>
    <r>
      <t xml:space="preserve"> - </t>
    </r>
    <r>
      <rPr>
        <b/>
        <sz val="10"/>
        <rFont val="Arial"/>
        <family val="2"/>
        <charset val="238"/>
      </rPr>
      <t>Hasící přístroj 21A</t>
    </r>
  </si>
  <si>
    <r>
      <t xml:space="preserve"> - </t>
    </r>
    <r>
      <rPr>
        <b/>
        <sz val="10"/>
        <rFont val="Arial"/>
        <family val="2"/>
        <charset val="238"/>
      </rPr>
      <t>Zařízení autonomní</t>
    </r>
    <r>
      <rPr>
        <sz val="10"/>
        <rFont val="Arial"/>
        <family val="2"/>
        <charset val="238"/>
      </rPr>
      <t xml:space="preserve"> detekce a signalizace 
   (dle ČSN EN 14604)</t>
    </r>
  </si>
  <si>
    <r>
      <t xml:space="preserve"> -</t>
    </r>
    <r>
      <rPr>
        <b/>
        <sz val="9"/>
        <color indexed="8"/>
        <rFont val="Arial"/>
        <family val="2"/>
        <charset val="238"/>
      </rPr>
      <t xml:space="preserve"> Vyčištění budov </t>
    </r>
    <r>
      <rPr>
        <sz val="9"/>
        <color indexed="8"/>
        <rFont val="Arial"/>
        <family val="2"/>
        <charset val="238"/>
      </rPr>
      <t xml:space="preserve"> občanské výstavby při výšce podlaží 
do 4 m. výměra : 7,92*9,84</t>
    </r>
  </si>
  <si>
    <r>
      <t xml:space="preserve"> -</t>
    </r>
    <r>
      <rPr>
        <sz val="9"/>
        <color indexed="8"/>
        <rFont val="Arial"/>
        <family val="2"/>
        <charset val="238"/>
      </rPr>
      <t xml:space="preserve"> </t>
    </r>
    <r>
      <rPr>
        <b/>
        <sz val="9"/>
        <color indexed="8"/>
        <rFont val="Arial"/>
        <family val="2"/>
        <charset val="238"/>
      </rPr>
      <t xml:space="preserve">Přesun hmot </t>
    </r>
    <r>
      <rPr>
        <sz val="9"/>
        <color indexed="8"/>
        <rFont val="Arial"/>
        <family val="2"/>
        <charset val="238"/>
      </rPr>
      <t>pro budovy monolitické v do 6 m</t>
    </r>
  </si>
  <si>
    <t>SDK podhledy</t>
  </si>
  <si>
    <r>
      <t xml:space="preserve"> - SDK</t>
    </r>
    <r>
      <rPr>
        <sz val="9"/>
        <color indexed="8"/>
        <rFont val="Arial"/>
        <family val="2"/>
        <charset val="238"/>
      </rPr>
      <t> </t>
    </r>
    <r>
      <rPr>
        <b/>
        <sz val="9"/>
        <color indexed="8"/>
        <rFont val="Arial"/>
        <family val="2"/>
        <charset val="238"/>
      </rPr>
      <t>podhled</t>
    </r>
    <r>
      <rPr>
        <sz val="9"/>
        <color indexed="8"/>
        <rFont val="Arial"/>
        <family val="2"/>
        <charset val="238"/>
      </rPr>
      <t xml:space="preserve"> desky </t>
    </r>
    <r>
      <rPr>
        <b/>
        <sz val="9"/>
        <color indexed="8"/>
        <rFont val="Arial"/>
        <family val="2"/>
        <charset val="238"/>
      </rPr>
      <t xml:space="preserve">2xDF </t>
    </r>
    <r>
      <rPr>
        <sz val="9"/>
        <color indexed="8"/>
        <rFont val="Arial"/>
        <family val="2"/>
        <charset val="238"/>
      </rPr>
      <t xml:space="preserve">12,5 bez izolace dvouvrstvá spodní kce profil CD+UD REI do 120 včetně tmelení, broušení a výztužné pásky </t>
    </r>
    <r>
      <rPr>
        <sz val="7"/>
        <color indexed="8"/>
        <rFont val="Arial"/>
        <family val="2"/>
        <charset val="238"/>
      </rPr>
      <t>(podrobnosti viz prováděcí dokumentace)</t>
    </r>
  </si>
  <si>
    <t>m.č.0.2 / (2,49*2,535)</t>
  </si>
  <si>
    <t>m.č.0.7 / (3,09*1,74)</t>
  </si>
  <si>
    <r>
      <rPr>
        <b/>
        <sz val="9"/>
        <color indexed="8"/>
        <rFont val="Arial"/>
        <family val="2"/>
        <charset val="238"/>
      </rPr>
      <t xml:space="preserve"> - SDK podhled</t>
    </r>
    <r>
      <rPr>
        <sz val="9"/>
        <color indexed="8"/>
        <rFont val="Arial"/>
        <family val="2"/>
        <charset val="238"/>
      </rPr>
      <t xml:space="preserve"> deska </t>
    </r>
    <r>
      <rPr>
        <b/>
        <sz val="9"/>
        <color indexed="8"/>
        <rFont val="Arial"/>
        <family val="2"/>
        <charset val="238"/>
      </rPr>
      <t>1xDFRIH2 1</t>
    </r>
    <r>
      <rPr>
        <sz val="9"/>
        <color indexed="8"/>
        <rFont val="Arial"/>
        <family val="2"/>
        <charset val="238"/>
      </rPr>
      <t xml:space="preserve">2,5 bez izolace,  jednovrstvá spodní kce profil CD+UD EI do 15  včetně tmelení,broušení a výztužné pásky
 </t>
    </r>
    <r>
      <rPr>
        <sz val="7"/>
        <color indexed="8"/>
        <rFont val="Arial"/>
        <family val="2"/>
        <charset val="238"/>
      </rPr>
      <t>(upřesnit v prováděcí dokumentaci)</t>
    </r>
  </si>
  <si>
    <t>m.č.0.4 / (2,995*2,20)</t>
  </si>
  <si>
    <t>m.č.0.5 / (1,65*0,95)</t>
  </si>
  <si>
    <t>m.č.0.6 / (1,65*1,135)</t>
  </si>
  <si>
    <r>
      <t xml:space="preserve"> -</t>
    </r>
    <r>
      <rPr>
        <b/>
        <sz val="9"/>
        <color indexed="8"/>
        <rFont val="Arial"/>
        <family val="2"/>
        <charset val="238"/>
      </rPr>
      <t xml:space="preserve"> Příplatek k SDK </t>
    </r>
    <r>
      <rPr>
        <sz val="9"/>
        <color indexed="8"/>
        <rFont val="Arial"/>
        <family val="2"/>
        <charset val="238"/>
      </rPr>
      <t>podhledu za plochu do 3 m2 jednotlivě</t>
    </r>
  </si>
  <si>
    <r>
      <rPr>
        <b/>
        <sz val="9"/>
        <color indexed="8"/>
        <rFont val="Arial"/>
        <family val="2"/>
        <charset val="238"/>
      </rPr>
      <t xml:space="preserve"> - Přesun hmot </t>
    </r>
    <r>
      <rPr>
        <sz val="9"/>
        <color indexed="8"/>
        <rFont val="Arial"/>
        <family val="2"/>
        <charset val="238"/>
      </rPr>
      <t>tonážní pro sádrokartonové konstrukce v objektech v do 6 m</t>
    </r>
  </si>
  <si>
    <t xml:space="preserve">Malby </t>
  </si>
  <si>
    <r>
      <rPr>
        <b/>
        <sz val="9"/>
        <color indexed="8"/>
        <rFont val="Segoe UI"/>
        <family val="2"/>
        <charset val="238"/>
      </rPr>
      <t xml:space="preserve">Malby </t>
    </r>
    <r>
      <rPr>
        <sz val="9"/>
        <color indexed="8"/>
        <rFont val="Segoe UI"/>
        <family val="2"/>
        <charset val="238"/>
      </rPr>
      <t>antibakteriální v místnostech v do 3,80 m</t>
    </r>
  </si>
  <si>
    <t>stropy m.č. 0.1+0.2+0.4 až 0.7</t>
  </si>
  <si>
    <t>m.č. 0.1 - (6,70*4,235)</t>
  </si>
  <si>
    <t>m.č. 0.2 a 0.7</t>
  </si>
  <si>
    <t>m.č. 0.4 až 0.6</t>
  </si>
  <si>
    <t>Prostupy ve stěnách</t>
  </si>
  <si>
    <r>
      <t xml:space="preserve">Prostupy nosnou zdí v chráničce proti vodotěsné propustnosti  </t>
    </r>
    <r>
      <rPr>
        <sz val="7"/>
        <rFont val="Arial"/>
        <family val="2"/>
        <charset val="238"/>
      </rPr>
      <t>(podrobnosti viz prováděcí dokumentace)</t>
    </r>
  </si>
  <si>
    <t>Sokly pro VZT zařízení</t>
  </si>
  <si>
    <t>podrobnosti viz v.č. D.1.2. 03</t>
  </si>
  <si>
    <t>Svislé konstrukce - 1.PP</t>
  </si>
  <si>
    <t>K o n s t r u k c e   a   p r á c e  - 1.PP</t>
  </si>
  <si>
    <t>Skladby podlah</t>
  </si>
  <si>
    <r>
      <t xml:space="preserve"> - cementová stěrka s</t>
    </r>
    <r>
      <rPr>
        <sz val="9"/>
        <color indexed="10"/>
        <rFont val="Arial"/>
        <family val="2"/>
        <charset val="238"/>
      </rPr>
      <t xml:space="preserve"> polyuretanovým lakem </t>
    </r>
    <r>
      <rPr>
        <sz val="8"/>
        <color indexed="10"/>
        <rFont val="Arial"/>
        <family val="2"/>
        <charset val="238"/>
      </rPr>
      <t xml:space="preserve">tl </t>
    </r>
    <r>
      <rPr>
        <b/>
        <sz val="8"/>
        <color indexed="10"/>
        <rFont val="Arial"/>
        <family val="2"/>
        <charset val="238"/>
      </rPr>
      <t xml:space="preserve">3mm: </t>
    </r>
    <r>
      <rPr>
        <b/>
        <sz val="9"/>
        <color indexed="10"/>
        <rFont val="Arial"/>
        <family val="2"/>
        <charset val="238"/>
      </rPr>
      <t xml:space="preserve">
   3 vrstvy ; </t>
    </r>
    <r>
      <rPr>
        <sz val="9"/>
        <color indexed="10"/>
        <rFont val="Arial"/>
        <family val="2"/>
        <charset val="238"/>
      </rPr>
      <t xml:space="preserve">podrobnosti (vlastnosti podlahy) viz </t>
    </r>
    <r>
      <rPr>
        <b/>
        <sz val="9"/>
        <color indexed="10"/>
        <rFont val="Arial"/>
        <family val="2"/>
        <charset val="238"/>
      </rPr>
      <t>TZ</t>
    </r>
    <r>
      <rPr>
        <sz val="9"/>
        <color indexed="10"/>
        <rFont val="Arial"/>
        <family val="2"/>
        <charset val="238"/>
      </rPr>
      <t xml:space="preserve"> str.10.</t>
    </r>
    <r>
      <rPr>
        <b/>
        <sz val="9"/>
        <color indexed="10"/>
        <rFont val="Arial"/>
        <family val="2"/>
        <charset val="238"/>
      </rPr>
      <t xml:space="preserve">
</t>
    </r>
    <r>
      <rPr>
        <sz val="9"/>
        <color indexed="10"/>
        <rFont val="Arial"/>
        <family val="2"/>
        <charset val="238"/>
      </rPr>
      <t>1a. kontaktní můstek epoxidový -pryskyřice zasypaná 
    pískem (spodní vrstva)</t>
    </r>
    <r>
      <rPr>
        <b/>
        <sz val="9"/>
        <color indexed="10"/>
        <rFont val="Arial"/>
        <family val="2"/>
        <charset val="238"/>
      </rPr>
      <t xml:space="preserve">
</t>
    </r>
    <r>
      <rPr>
        <sz val="9"/>
        <color indexed="10"/>
        <rFont val="Arial"/>
        <family val="2"/>
        <charset val="238"/>
      </rPr>
      <t>2b. strojně gletovaná polymercementová hmota
    2x nanášená a přebroušená</t>
    </r>
    <r>
      <rPr>
        <b/>
        <sz val="9"/>
        <color indexed="10"/>
        <rFont val="Arial"/>
        <family val="2"/>
        <charset val="238"/>
      </rPr>
      <t xml:space="preserve">
</t>
    </r>
    <r>
      <rPr>
        <sz val="9"/>
        <color indexed="10"/>
        <rFont val="Arial"/>
        <family val="2"/>
        <charset val="238"/>
      </rPr>
      <t>3c. dvousložkový polyuretanový lak matný 
     (horní vrstva)</t>
    </r>
  </si>
  <si>
    <r>
      <t xml:space="preserve"> - </t>
    </r>
    <r>
      <rPr>
        <b/>
        <sz val="9"/>
        <color indexed="10"/>
        <rFont val="Arial"/>
        <family val="2"/>
        <charset val="238"/>
      </rPr>
      <t xml:space="preserve">3d. dvousložkový </t>
    </r>
    <r>
      <rPr>
        <sz val="9"/>
        <color indexed="10"/>
        <rFont val="Arial"/>
        <family val="2"/>
        <charset val="238"/>
      </rPr>
      <t xml:space="preserve">polyuretanový lak matný - </t>
    </r>
    <r>
      <rPr>
        <b/>
        <sz val="9"/>
        <color indexed="10"/>
        <rFont val="Arial"/>
        <family val="2"/>
        <charset val="238"/>
      </rPr>
      <t>sokl v. 70mm</t>
    </r>
  </si>
  <si>
    <r>
      <rPr>
        <b/>
        <sz val="9"/>
        <color indexed="10"/>
        <rFont val="Arial"/>
        <family val="2"/>
        <charset val="238"/>
      </rPr>
      <t xml:space="preserve"> - Ukončující nerezový L profil - ukončení cementové stěrky </t>
    </r>
    <r>
      <rPr>
        <sz val="9"/>
        <color indexed="10"/>
        <rFont val="Arial"/>
        <family val="2"/>
        <charset val="238"/>
      </rPr>
      <t>(minimalizují spáru mezi podlahou a stěnou) +</t>
    </r>
    <r>
      <rPr>
        <b/>
        <sz val="9"/>
        <color indexed="10"/>
        <rFont val="Arial"/>
        <family val="2"/>
        <charset val="238"/>
      </rPr>
      <t xml:space="preserve"> spára bude vyplněna trvale pružným tmelem</t>
    </r>
    <r>
      <rPr>
        <sz val="9"/>
        <color indexed="10"/>
        <rFont val="Arial"/>
        <family val="2"/>
        <charset val="238"/>
      </rPr>
      <t xml:space="preserve"> ;</t>
    </r>
    <r>
      <rPr>
        <b/>
        <sz val="9"/>
        <color indexed="10"/>
        <rFont val="Arial"/>
        <family val="2"/>
        <charset val="238"/>
      </rPr>
      <t xml:space="preserve"> </t>
    </r>
    <r>
      <rPr>
        <sz val="9"/>
        <color indexed="10"/>
        <rFont val="Arial"/>
        <family val="2"/>
        <charset val="238"/>
      </rPr>
      <t xml:space="preserve">   
rozměry viz TZ strana 10 ; výměra 81,45*1,15</t>
    </r>
  </si>
  <si>
    <t xml:space="preserve">bm </t>
  </si>
  <si>
    <t>632451215/R</t>
  </si>
  <si>
    <t>P2 /2</t>
  </si>
  <si>
    <t xml:space="preserve"> - cementový litý potěr C20,  tl. 67mm</t>
  </si>
  <si>
    <r>
      <t xml:space="preserve"> -  </t>
    </r>
    <r>
      <rPr>
        <sz val="8"/>
        <rFont val="Arial"/>
        <family val="2"/>
        <charset val="238"/>
      </rPr>
      <t xml:space="preserve">montáž </t>
    </r>
    <r>
      <rPr>
        <sz val="9"/>
        <rFont val="Arial"/>
        <family val="2"/>
        <charset val="238"/>
      </rPr>
      <t xml:space="preserve">- </t>
    </r>
    <r>
      <rPr>
        <b/>
        <sz val="9"/>
        <rFont val="Arial"/>
        <family val="2"/>
        <charset val="238"/>
      </rPr>
      <t xml:space="preserve">dilatační pásky </t>
    </r>
    <r>
      <rPr>
        <sz val="9"/>
        <rFont val="Arial"/>
        <family val="2"/>
        <charset val="238"/>
      </rPr>
      <t xml:space="preserve">skládaných podlah
    výměra viz P1 /1a : 81,5m2 </t>
    </r>
  </si>
  <si>
    <t>59030100</t>
  </si>
  <si>
    <r>
      <t xml:space="preserve"> - </t>
    </r>
    <r>
      <rPr>
        <sz val="8"/>
        <rFont val="Arial"/>
        <family val="2"/>
        <charset val="238"/>
      </rPr>
      <t>dodávka</t>
    </r>
    <r>
      <rPr>
        <sz val="9"/>
        <rFont val="Arial"/>
        <family val="2"/>
        <charset val="238"/>
      </rPr>
      <t xml:space="preserve"> - </t>
    </r>
    <r>
      <rPr>
        <b/>
        <sz val="9"/>
        <rFont val="Arial"/>
        <family val="2"/>
        <charset val="238"/>
      </rPr>
      <t xml:space="preserve">páska dilatační </t>
    </r>
    <r>
      <rPr>
        <sz val="9"/>
        <rFont val="Arial"/>
        <family val="2"/>
        <charset val="238"/>
      </rPr>
      <t>obvodová
    výměry ; 81,5m2*1,10prořez</t>
    </r>
  </si>
  <si>
    <t>2832305/P</t>
  </si>
  <si>
    <r>
      <t xml:space="preserve"> - </t>
    </r>
    <r>
      <rPr>
        <sz val="8"/>
        <rFont val="Arial"/>
        <family val="2"/>
        <charset val="238"/>
      </rPr>
      <t>dodávka</t>
    </r>
    <r>
      <rPr>
        <sz val="9"/>
        <rFont val="Arial"/>
        <family val="2"/>
        <charset val="238"/>
      </rPr>
      <t xml:space="preserve"> - </t>
    </r>
    <r>
      <rPr>
        <b/>
        <sz val="9"/>
        <rFont val="Arial"/>
        <family val="2"/>
        <charset val="238"/>
      </rPr>
      <t xml:space="preserve">separační PE fólie
</t>
    </r>
    <r>
      <rPr>
        <sz val="9"/>
        <rFont val="Arial"/>
        <family val="2"/>
        <charset val="238"/>
      </rPr>
      <t xml:space="preserve"> (500kg/m3; tl.1,2mm) oddělující tepelnou izolaci, 
 + přesah 15%.  
Výměry viz P1/1 ; 61,80m2*1,15</t>
    </r>
  </si>
  <si>
    <t>713191133</t>
  </si>
  <si>
    <r>
      <rPr>
        <sz val="8"/>
        <rFont val="Arial"/>
        <family val="2"/>
        <charset val="238"/>
      </rPr>
      <t xml:space="preserve">Dtto, avšak </t>
    </r>
    <r>
      <rPr>
        <sz val="8"/>
        <color indexed="8"/>
        <rFont val="Arial"/>
        <family val="2"/>
        <charset val="238"/>
      </rPr>
      <t>montáž</t>
    </r>
    <r>
      <rPr>
        <b/>
        <sz val="8"/>
        <color indexed="8"/>
        <rFont val="Arial"/>
        <family val="2"/>
        <charset val="238"/>
      </rPr>
      <t xml:space="preserve"> </t>
    </r>
    <r>
      <rPr>
        <sz val="9"/>
        <rFont val="Arial"/>
        <family val="2"/>
        <charset val="238"/>
      </rPr>
      <t xml:space="preserve">- </t>
    </r>
    <r>
      <rPr>
        <b/>
        <sz val="9"/>
        <rFont val="Arial"/>
        <family val="2"/>
        <charset val="238"/>
      </rPr>
      <t xml:space="preserve">překrytí fólií s přelepením spojů ; </t>
    </r>
    <r>
      <rPr>
        <sz val="9"/>
        <rFont val="Arial"/>
        <family val="2"/>
        <charset val="238"/>
      </rPr>
      <t xml:space="preserve">výměra : viz P1/1  ; 71,10,m2 </t>
    </r>
  </si>
  <si>
    <r>
      <t xml:space="preserve"> - dodávka - </t>
    </r>
    <r>
      <rPr>
        <b/>
        <sz val="8"/>
        <rFont val="Arial"/>
        <family val="2"/>
        <charset val="238"/>
      </rPr>
      <t xml:space="preserve"> </t>
    </r>
    <r>
      <rPr>
        <b/>
        <sz val="9"/>
        <rFont val="Arial"/>
        <family val="2"/>
        <charset val="238"/>
      </rPr>
      <t xml:space="preserve">tepelná izolace </t>
    </r>
    <r>
      <rPr>
        <sz val="9"/>
        <rFont val="Arial"/>
        <family val="2"/>
        <charset val="238"/>
      </rPr>
      <t xml:space="preserve"> </t>
    </r>
    <r>
      <rPr>
        <b/>
        <sz val="9"/>
        <rFont val="Arial"/>
        <family val="2"/>
        <charset val="238"/>
      </rPr>
      <t>EPS GREY tl. 120</t>
    </r>
    <r>
      <rPr>
        <sz val="8"/>
        <rFont val="Arial"/>
        <family val="2"/>
        <charset val="238"/>
      </rPr>
      <t>mm
(LAMD.=0,032 W/mK)+ prořez 15% 
výměra viz P1/1 ; 61,80m2*1,15</t>
    </r>
  </si>
  <si>
    <t>713121112</t>
  </si>
  <si>
    <r>
      <rPr>
        <b/>
        <sz val="8"/>
        <rFont val="Arial"/>
        <family val="2"/>
        <charset val="238"/>
      </rPr>
      <t xml:space="preserve"> - Dtto, </t>
    </r>
    <r>
      <rPr>
        <sz val="8"/>
        <rFont val="Arial"/>
        <family val="2"/>
        <charset val="238"/>
      </rPr>
      <t xml:space="preserve">avšak </t>
    </r>
    <r>
      <rPr>
        <b/>
        <sz val="8"/>
        <color indexed="8"/>
        <rFont val="Arial"/>
        <family val="2"/>
        <charset val="238"/>
      </rPr>
      <t>montáž</t>
    </r>
    <r>
      <rPr>
        <sz val="9"/>
        <rFont val="Arial"/>
        <family val="2"/>
        <charset val="238"/>
      </rPr>
      <t xml:space="preserve"> - </t>
    </r>
    <r>
      <rPr>
        <sz val="8"/>
        <rFont val="Arial"/>
        <family val="2"/>
        <charset val="238"/>
      </rPr>
      <t xml:space="preserve">
</t>
    </r>
    <r>
      <rPr>
        <sz val="9"/>
        <rFont val="Arial"/>
        <family val="2"/>
        <charset val="238"/>
      </rPr>
      <t>izolace tepelná podlah volně kladená</t>
    </r>
    <r>
      <rPr>
        <sz val="8"/>
        <rFont val="Arial"/>
        <family val="2"/>
        <charset val="238"/>
      </rPr>
      <t xml:space="preserve">
výměra viz P1/1 61,80,m2 (bez prořezu )</t>
    </r>
  </si>
  <si>
    <t>viz Statika</t>
  </si>
  <si>
    <t>278452121/P</t>
  </si>
  <si>
    <r>
      <t xml:space="preserve"> - ochranná </t>
    </r>
    <r>
      <rPr>
        <b/>
        <sz val="9"/>
        <rFont val="Arial"/>
        <family val="2"/>
        <charset val="238"/>
      </rPr>
      <t>betonová vrstva C16/20</t>
    </r>
    <r>
      <rPr>
        <sz val="9"/>
        <rFont val="Arial"/>
        <family val="2"/>
        <charset val="238"/>
      </rPr>
      <t xml:space="preserve"> tl. 50mm</t>
    </r>
  </si>
  <si>
    <t>plánovací cena D</t>
  </si>
  <si>
    <r>
      <rPr>
        <b/>
        <sz val="9"/>
        <rFont val="Arial"/>
        <family val="2"/>
        <charset val="238"/>
      </rPr>
      <t xml:space="preserve"> - </t>
    </r>
    <r>
      <rPr>
        <sz val="9"/>
        <rFont val="Arial"/>
        <family val="2"/>
        <charset val="238"/>
      </rPr>
      <t>dodávka</t>
    </r>
    <r>
      <rPr>
        <b/>
        <sz val="9"/>
        <rFont val="Arial"/>
        <family val="2"/>
        <charset val="238"/>
      </rPr>
      <t xml:space="preserve"> - Pás z SBS modifikovaného asfaltu</t>
    </r>
    <r>
      <rPr>
        <sz val="9"/>
        <rFont val="Arial"/>
        <family val="2"/>
        <charset val="238"/>
      </rPr>
      <t xml:space="preserve"> s nosnou</t>
    </r>
    <r>
      <rPr>
        <b/>
        <sz val="9"/>
        <rFont val="Arial"/>
        <family val="2"/>
        <charset val="238"/>
      </rPr>
      <t xml:space="preserve"> vložkou ze polyesterové tkaniny tl</t>
    </r>
    <r>
      <rPr>
        <sz val="9"/>
        <rFont val="Arial"/>
        <family val="2"/>
        <charset val="238"/>
      </rPr>
      <t>.</t>
    </r>
    <r>
      <rPr>
        <b/>
        <sz val="9"/>
        <rFont val="Arial"/>
        <family val="2"/>
        <charset val="238"/>
      </rPr>
      <t>4mm</t>
    </r>
    <r>
      <rPr>
        <sz val="9"/>
        <rFont val="Arial"/>
        <family val="2"/>
        <charset val="238"/>
      </rPr>
      <t>. Pás je na horním povrchu opatřen jemným separačním posypem a na spodním separační PE fólií. Výměra ; 
75,568m2 * 1,15 přesahy (vodorovná)
20,862 m2 *1,20 přesahy (svislá)</t>
    </r>
  </si>
  <si>
    <r>
      <rPr>
        <b/>
        <sz val="9"/>
        <rFont val="Arial"/>
        <family val="2"/>
        <charset val="238"/>
      </rPr>
      <t xml:space="preserve"> - </t>
    </r>
    <r>
      <rPr>
        <sz val="9"/>
        <rFont val="Arial"/>
        <family val="2"/>
        <charset val="238"/>
      </rPr>
      <t>dodávka</t>
    </r>
    <r>
      <rPr>
        <b/>
        <sz val="9"/>
        <rFont val="Arial"/>
        <family val="2"/>
        <charset val="238"/>
      </rPr>
      <t xml:space="preserve"> - Pás z SBS modifikovaného asfaltu</t>
    </r>
    <r>
      <rPr>
        <sz val="9"/>
        <rFont val="Arial"/>
        <family val="2"/>
        <charset val="238"/>
      </rPr>
      <t xml:space="preserve"> </t>
    </r>
    <r>
      <rPr>
        <b/>
        <sz val="9"/>
        <rFont val="Arial"/>
        <family val="2"/>
        <charset val="238"/>
      </rPr>
      <t>s nosnou vložkou ze skleněné tkaniny 4mm</t>
    </r>
    <r>
      <rPr>
        <sz val="9"/>
        <rFont val="Arial"/>
        <family val="2"/>
        <charset val="238"/>
      </rPr>
      <t>. Pás 
je na horním povrchu opatřen jemným separačním posypem a na spodním separační PE fólií.
Výměra ; 
75,568m2 * 1,15 přesahy (vodorovná)
20,862 m2 *1,20 přesahy (svislá)</t>
    </r>
  </si>
  <si>
    <t>711141559/P</t>
  </si>
  <si>
    <r>
      <t xml:space="preserve"> - Dtto, avšak</t>
    </r>
    <r>
      <rPr>
        <b/>
        <sz val="9"/>
        <rFont val="Arial"/>
        <family val="2"/>
        <charset val="238"/>
      </rPr>
      <t xml:space="preserve"> montáž - </t>
    </r>
    <r>
      <rPr>
        <sz val="9"/>
        <rFont val="Arial"/>
        <family val="2"/>
        <charset val="238"/>
      </rPr>
      <t xml:space="preserve">hydroizolace, 
   </t>
    </r>
    <r>
      <rPr>
        <b/>
        <sz val="9"/>
        <rFont val="Arial"/>
        <family val="2"/>
        <charset val="238"/>
      </rPr>
      <t>Vodorovná</t>
    </r>
    <r>
      <rPr>
        <sz val="9"/>
        <rFont val="Arial"/>
        <family val="2"/>
        <charset val="238"/>
      </rPr>
      <t>, cena pro  2x pásy ; 
výměra 75,568m2</t>
    </r>
  </si>
  <si>
    <t>711142559/P</t>
  </si>
  <si>
    <r>
      <t xml:space="preserve"> - Dtto, avšak</t>
    </r>
    <r>
      <rPr>
        <b/>
        <sz val="9"/>
        <rFont val="Arial"/>
        <family val="2"/>
        <charset val="238"/>
      </rPr>
      <t xml:space="preserve"> montáž - </t>
    </r>
    <r>
      <rPr>
        <sz val="9"/>
        <rFont val="Arial"/>
        <family val="2"/>
        <charset val="238"/>
      </rPr>
      <t xml:space="preserve">hydroizolace, 
   </t>
    </r>
    <r>
      <rPr>
        <b/>
        <sz val="9"/>
        <rFont val="Arial"/>
        <family val="2"/>
        <charset val="238"/>
      </rPr>
      <t xml:space="preserve">Svislá </t>
    </r>
    <r>
      <rPr>
        <sz val="9"/>
        <rFont val="Arial"/>
        <family val="2"/>
        <charset val="238"/>
      </rPr>
      <t xml:space="preserve">, cena pro  2x pásy ;
 výměra ; 20,862 m2 </t>
    </r>
  </si>
  <si>
    <t>451315125</t>
  </si>
  <si>
    <r>
      <t xml:space="preserve"> - </t>
    </r>
    <r>
      <rPr>
        <b/>
        <sz val="9"/>
        <rFont val="Arial"/>
        <family val="2"/>
        <charset val="238"/>
      </rPr>
      <t xml:space="preserve">podkladová betonová </t>
    </r>
    <r>
      <rPr>
        <sz val="9"/>
        <rFont val="Arial"/>
        <family val="2"/>
        <charset val="238"/>
      </rPr>
      <t>vrstva C16/20 tl. 100mm
   výměra; 75,568m2</t>
    </r>
  </si>
  <si>
    <t>919726123/P
D+M</t>
  </si>
  <si>
    <t xml:space="preserve"> - separační vrstva - GEOTEXTILIE 300g/m2 tl. 2mm, výměra ; 75,568m2 *1,15přesah</t>
  </si>
  <si>
    <t>271562211</t>
  </si>
  <si>
    <r>
      <t xml:space="preserve"> - </t>
    </r>
    <r>
      <rPr>
        <b/>
        <sz val="9"/>
        <rFont val="Arial"/>
        <family val="2"/>
        <charset val="238"/>
      </rPr>
      <t>štěrkopískové lože</t>
    </r>
    <r>
      <rPr>
        <sz val="9"/>
        <rFont val="Arial"/>
        <family val="2"/>
        <charset val="238"/>
      </rPr>
      <t xml:space="preserve"> tl. 150mm, výměra viz p1/ 10</t>
    </r>
  </si>
  <si>
    <t>P1 /11</t>
  </si>
  <si>
    <r>
      <t xml:space="preserve"> - rostlý terén</t>
    </r>
    <r>
      <rPr>
        <b/>
        <sz val="9"/>
        <rFont val="Arial"/>
        <family val="2"/>
        <charset val="238"/>
      </rPr>
      <t xml:space="preserve"> zhutněný viz odd. Zemní práce</t>
    </r>
  </si>
  <si>
    <r>
      <rPr>
        <b/>
        <sz val="10"/>
        <rFont val="Arial"/>
        <family val="2"/>
        <charset val="238"/>
      </rPr>
      <t>Výměry  pro skladby P1 /1 - P1 /11</t>
    </r>
    <r>
      <rPr>
        <sz val="10"/>
        <rFont val="Arial"/>
        <family val="2"/>
        <charset val="238"/>
      </rPr>
      <t xml:space="preserve">
- </t>
    </r>
    <r>
      <rPr>
        <b/>
        <sz val="10"/>
        <rFont val="Arial"/>
        <family val="2"/>
        <charset val="238"/>
      </rPr>
      <t>viz v.č. 1PP v.č. D.1.12.1.03 + řezy A+B+C</t>
    </r>
  </si>
  <si>
    <r>
      <t xml:space="preserve">P1 /1, P1 /2  - </t>
    </r>
    <r>
      <rPr>
        <sz val="9"/>
        <rFont val="Arial"/>
        <family val="2"/>
        <charset val="238"/>
      </rPr>
      <t>m.č.  0.1 až 0.8</t>
    </r>
  </si>
  <si>
    <t>m.č. 0.1;   (6,70*4,235+0,90*0,115)</t>
  </si>
  <si>
    <t>m.č. 0.2;   (2,49*2,535+0,90*0,115)</t>
  </si>
  <si>
    <t>m.č. 0.3    (2,24*2,535+1,20*0,115)</t>
  </si>
  <si>
    <t>m.č. 0.4;   (2,995*2,20)</t>
  </si>
  <si>
    <t>m.č. 0.5;   (1,65*0,95+0,80*0,115)</t>
  </si>
  <si>
    <t>m.č. 0.6;   (1,65*1,135+0,80*0,115)</t>
  </si>
  <si>
    <t>m.č. 0.7;   (1,74*3,11)</t>
  </si>
  <si>
    <t>m.č. 0.8;    (2,28*2,28+0,90*0,115+1,34*0,085)</t>
  </si>
  <si>
    <t>soklíky  - m.č. 1 až  8</t>
  </si>
  <si>
    <t xml:space="preserve"> m.č. 0.1; (6,70+4,235)*2-(0,80+1,10)</t>
  </si>
  <si>
    <t xml:space="preserve"> m.č. 0.2 ;  (2,49+2,535)*2-(0,80)</t>
  </si>
  <si>
    <t xml:space="preserve"> m.č. 0.3 ; (2,24+2,535)*-1,10</t>
  </si>
  <si>
    <t xml:space="preserve"> m.č. 0.4 ; (3,0+2,20)*2-(0,70*2+0,80)</t>
  </si>
  <si>
    <t xml:space="preserve"> m.č. 0.5 ; (1,65+1,042)*2-0,70</t>
  </si>
  <si>
    <t xml:space="preserve"> m.č. 0.6 ; (1,65+1,043)*2-0,70</t>
  </si>
  <si>
    <t xml:space="preserve"> m.č. 0.7 ; (1,74+3,225*2)-0,80*2</t>
  </si>
  <si>
    <t xml:space="preserve"> m.č. 0.8;   (2,28*4)-(0,80+1,74)</t>
  </si>
  <si>
    <t>dilatační pásky - m.č. 1 až  8 (podlaha/stěna)</t>
  </si>
  <si>
    <t xml:space="preserve"> m.č. 0.1; (6,70+4,235)*2+0,15*2</t>
  </si>
  <si>
    <t xml:space="preserve"> m.č. 0.2 ;  (2,49+2,535)*2+0,15*2</t>
  </si>
  <si>
    <t xml:space="preserve"> m.č. 0.3 ; (2,24+2,535)*2+0,15*2</t>
  </si>
  <si>
    <t xml:space="preserve"> m.č. 0.4 ; (3,0+2,20)*2</t>
  </si>
  <si>
    <t xml:space="preserve"> m.č. 0.5 ; (1,65+1,042)*2+0,15*2</t>
  </si>
  <si>
    <t xml:space="preserve"> m.č. 0.6 ; (1,65+1,043)*2+0,15*2</t>
  </si>
  <si>
    <t xml:space="preserve"> m.č. 0.7 ; (1,74+3,225*2)</t>
  </si>
  <si>
    <t xml:space="preserve"> m.č. 0.8;   (2,28*4)</t>
  </si>
  <si>
    <t>ukončující nerezový L profil  s trvale pružným tmelem</t>
  </si>
  <si>
    <r>
      <rPr>
        <b/>
        <sz val="9"/>
        <rFont val="Arial"/>
        <family val="2"/>
        <charset val="238"/>
      </rPr>
      <t>výměry pro izolaci vodorovnou;  viz v.č.D.1.12.1.10 a D.1.12.1.2</t>
    </r>
    <r>
      <rPr>
        <sz val="9"/>
        <rFont val="Arial"/>
        <family val="2"/>
        <charset val="238"/>
      </rPr>
      <t xml:space="preserve">  - dodávka - </t>
    </r>
    <r>
      <rPr>
        <b/>
        <sz val="9"/>
        <rFont val="Arial"/>
        <family val="2"/>
        <charset val="238"/>
      </rPr>
      <t>vodorovná</t>
    </r>
    <r>
      <rPr>
        <sz val="9"/>
        <rFont val="Arial"/>
        <family val="2"/>
        <charset val="238"/>
      </rPr>
      <t xml:space="preserve"> - 
podsyp pod základovou deskou  (9,840*(6,70+0,32+0,36))+(3,0*2-0,54)*0,54 
rozšíření pod schodiště (3,0*2-0,54)*0,54 
75,568m2*1,15přesah =86,903 m2</t>
    </r>
  </si>
  <si>
    <r>
      <t xml:space="preserve">dtto, avšak -  </t>
    </r>
    <r>
      <rPr>
        <b/>
        <sz val="9"/>
        <rFont val="Arial"/>
        <family val="2"/>
        <charset val="238"/>
      </rPr>
      <t xml:space="preserve">svislá </t>
    </r>
    <r>
      <rPr>
        <sz val="9"/>
        <rFont val="Arial"/>
        <family val="2"/>
        <charset val="238"/>
      </rPr>
      <t>; 
(7,92+9,84+0,54)*2*0,57= 20,862 m2 *1,20přesah</t>
    </r>
  </si>
  <si>
    <r>
      <rPr>
        <b/>
        <sz val="9"/>
        <rFont val="Arial"/>
        <family val="2"/>
        <charset val="238"/>
      </rPr>
      <t>výměry ;  viz v.č.D.1.12.1.10 a D.1.12.1.2</t>
    </r>
    <r>
      <rPr>
        <sz val="9"/>
        <rFont val="Arial"/>
        <family val="2"/>
        <charset val="238"/>
      </rPr>
      <t xml:space="preserve">
štěrkopískové lože pod základovou deskou  0,15*(9,840*(6,70+0,32*2))+
rozšíření pod schodiště (3,0*2-0,54)*0,54*0,15+ rozšíření kolem objektu 
(9,84+0,75*2)*0,50*2+(6,70+0,32*2)*0,50*2+(0,54*0,50*2)</t>
    </r>
  </si>
  <si>
    <t>P2</t>
  </si>
  <si>
    <r>
      <t xml:space="preserve">  - cementová stěrka s polyuretanovým lakem tl 3mm: 
   3 vrstvy ; podrobnosti</t>
    </r>
    <r>
      <rPr>
        <sz val="9"/>
        <color indexed="10"/>
        <rFont val="Arial"/>
        <family val="2"/>
        <charset val="238"/>
      </rPr>
      <t>(vlastnosti podlahy) viz TZ str.10.</t>
    </r>
    <r>
      <rPr>
        <b/>
        <sz val="9"/>
        <color indexed="10"/>
        <rFont val="Arial"/>
        <family val="2"/>
        <charset val="238"/>
      </rPr>
      <t xml:space="preserve">
</t>
    </r>
    <r>
      <rPr>
        <sz val="9"/>
        <color indexed="10"/>
        <rFont val="Arial"/>
        <family val="2"/>
        <charset val="238"/>
      </rPr>
      <t>1a. kontaktní můstek epoxidový -pryskyřice zasypaná 
    pískem (spodní vrstva)</t>
    </r>
    <r>
      <rPr>
        <b/>
        <sz val="9"/>
        <color indexed="10"/>
        <rFont val="Arial"/>
        <family val="2"/>
        <charset val="238"/>
      </rPr>
      <t xml:space="preserve">
</t>
    </r>
    <r>
      <rPr>
        <sz val="9"/>
        <color indexed="10"/>
        <rFont val="Arial"/>
        <family val="2"/>
        <charset val="238"/>
      </rPr>
      <t>2b. strojně gletovaná polymercementová hmota
    2x nanášená a přebroušená</t>
    </r>
    <r>
      <rPr>
        <b/>
        <sz val="9"/>
        <color indexed="10"/>
        <rFont val="Arial"/>
        <family val="2"/>
        <charset val="238"/>
      </rPr>
      <t xml:space="preserve">
</t>
    </r>
    <r>
      <rPr>
        <sz val="9"/>
        <color indexed="10"/>
        <rFont val="Arial"/>
        <family val="2"/>
        <charset val="238"/>
      </rPr>
      <t>3c. dvousložkový polyuretanový lak matný 
     (horní vrstva)</t>
    </r>
  </si>
  <si>
    <r>
      <t xml:space="preserve"> - </t>
    </r>
    <r>
      <rPr>
        <b/>
        <sz val="9"/>
        <color indexed="10"/>
        <rFont val="Arial"/>
        <family val="2"/>
        <charset val="238"/>
      </rPr>
      <t xml:space="preserve">3d. dvousložkový </t>
    </r>
    <r>
      <rPr>
        <sz val="9"/>
        <color indexed="10"/>
        <rFont val="Arial"/>
        <family val="2"/>
        <charset val="238"/>
      </rPr>
      <t xml:space="preserve">polyuretanový </t>
    </r>
    <r>
      <rPr>
        <b/>
        <sz val="9"/>
        <color indexed="10"/>
        <rFont val="Arial"/>
        <family val="2"/>
        <charset val="238"/>
      </rPr>
      <t>lak</t>
    </r>
    <r>
      <rPr>
        <sz val="9"/>
        <color indexed="10"/>
        <rFont val="Arial"/>
        <family val="2"/>
        <charset val="238"/>
      </rPr>
      <t xml:space="preserve"> matný - sokl v. 70mm</t>
    </r>
  </si>
  <si>
    <r>
      <rPr>
        <b/>
        <sz val="9"/>
        <color indexed="10"/>
        <rFont val="Arial"/>
        <family val="2"/>
        <charset val="238"/>
      </rPr>
      <t xml:space="preserve"> - Ukončující nerezový L profil - ukončení cementové stěrky </t>
    </r>
    <r>
      <rPr>
        <sz val="9"/>
        <color indexed="10"/>
        <rFont val="Arial"/>
        <family val="2"/>
        <charset val="238"/>
      </rPr>
      <t>(minimalizují spáru mezi podlahou a stěnou) +</t>
    </r>
    <r>
      <rPr>
        <b/>
        <sz val="9"/>
        <color indexed="10"/>
        <rFont val="Arial"/>
        <family val="2"/>
        <charset val="238"/>
      </rPr>
      <t xml:space="preserve"> spára bude vyplněna trvale pružným tmelem</t>
    </r>
    <r>
      <rPr>
        <sz val="9"/>
        <color indexed="10"/>
        <rFont val="Arial"/>
        <family val="2"/>
        <charset val="238"/>
      </rPr>
      <t xml:space="preserve"> ;</t>
    </r>
    <r>
      <rPr>
        <b/>
        <sz val="9"/>
        <color indexed="10"/>
        <rFont val="Arial"/>
        <family val="2"/>
        <charset val="238"/>
      </rPr>
      <t xml:space="preserve"> </t>
    </r>
    <r>
      <rPr>
        <sz val="9"/>
        <color indexed="10"/>
        <rFont val="Arial"/>
        <family val="2"/>
        <charset val="238"/>
      </rPr>
      <t xml:space="preserve">   
rozměry viz TZ strana 10 ;  výměra 59,30*1,15</t>
    </r>
  </si>
  <si>
    <r>
      <t xml:space="preserve"> -  </t>
    </r>
    <r>
      <rPr>
        <sz val="8"/>
        <color indexed="17"/>
        <rFont val="Arial"/>
        <family val="2"/>
        <charset val="238"/>
      </rPr>
      <t xml:space="preserve">montáž </t>
    </r>
    <r>
      <rPr>
        <sz val="9"/>
        <color indexed="17"/>
        <rFont val="Arial"/>
        <family val="2"/>
        <charset val="238"/>
      </rPr>
      <t xml:space="preserve">- </t>
    </r>
    <r>
      <rPr>
        <b/>
        <sz val="9"/>
        <color indexed="17"/>
        <rFont val="Arial"/>
        <family val="2"/>
        <charset val="238"/>
      </rPr>
      <t xml:space="preserve">dilatační pásky </t>
    </r>
    <r>
      <rPr>
        <sz val="9"/>
        <color indexed="17"/>
        <rFont val="Arial"/>
        <family val="2"/>
        <charset val="238"/>
      </rPr>
      <t xml:space="preserve">skládaných podlah
    výměra viz P1 /1a : 59,30m2 </t>
    </r>
  </si>
  <si>
    <r>
      <t xml:space="preserve"> - </t>
    </r>
    <r>
      <rPr>
        <sz val="8"/>
        <color indexed="17"/>
        <rFont val="Arial"/>
        <family val="2"/>
        <charset val="238"/>
      </rPr>
      <t>dodávka</t>
    </r>
    <r>
      <rPr>
        <sz val="9"/>
        <color indexed="17"/>
        <rFont val="Arial"/>
        <family val="2"/>
        <charset val="238"/>
      </rPr>
      <t xml:space="preserve"> - </t>
    </r>
    <r>
      <rPr>
        <b/>
        <sz val="9"/>
        <color indexed="17"/>
        <rFont val="Arial"/>
        <family val="2"/>
        <charset val="238"/>
      </rPr>
      <t xml:space="preserve">páska dilatační </t>
    </r>
    <r>
      <rPr>
        <sz val="9"/>
        <color indexed="17"/>
        <rFont val="Arial"/>
        <family val="2"/>
        <charset val="238"/>
      </rPr>
      <t>obvodová
    výměry ; 30,60m2*1,10prořez</t>
    </r>
  </si>
  <si>
    <t>28323056</t>
  </si>
  <si>
    <r>
      <t xml:space="preserve"> - dodávka - </t>
    </r>
    <r>
      <rPr>
        <b/>
        <sz val="9"/>
        <color indexed="30"/>
        <rFont val="Arial"/>
        <family val="2"/>
        <charset val="238"/>
      </rPr>
      <t xml:space="preserve">separační PE fólie
</t>
    </r>
    <r>
      <rPr>
        <sz val="9"/>
        <color indexed="30"/>
        <rFont val="Arial"/>
        <family val="2"/>
        <charset val="238"/>
      </rPr>
      <t xml:space="preserve"> (500kg/m3; tl.1,0mm) oddělující tepelnou izolaci, 
 + přesah 10%.  
Výměry viz P1/1 ; 51,58m2*1,10</t>
    </r>
  </si>
  <si>
    <r>
      <t xml:space="preserve"> - Dtto, avšak </t>
    </r>
    <r>
      <rPr>
        <b/>
        <sz val="9"/>
        <color indexed="30"/>
        <rFont val="Arial"/>
        <family val="2"/>
        <charset val="238"/>
      </rPr>
      <t xml:space="preserve">montáž </t>
    </r>
    <r>
      <rPr>
        <sz val="9"/>
        <color indexed="30"/>
        <rFont val="Arial"/>
        <family val="2"/>
        <charset val="238"/>
      </rPr>
      <t xml:space="preserve">-  </t>
    </r>
    <r>
      <rPr>
        <b/>
        <sz val="9"/>
        <color indexed="30"/>
        <rFont val="Arial"/>
        <family val="2"/>
        <charset val="238"/>
      </rPr>
      <t>separační PE fólie</t>
    </r>
    <r>
      <rPr>
        <sz val="9"/>
        <color indexed="30"/>
        <rFont val="Arial"/>
        <family val="2"/>
        <charset val="238"/>
      </rPr>
      <t xml:space="preserve">
překrytí fólií </t>
    </r>
    <r>
      <rPr>
        <b/>
        <sz val="9"/>
        <color indexed="30"/>
        <rFont val="Arial"/>
        <family val="2"/>
        <charset val="238"/>
      </rPr>
      <t>s přelepením spojů</t>
    </r>
  </si>
  <si>
    <t>28376553
dodávka</t>
  </si>
  <si>
    <r>
      <t xml:space="preserve"> - </t>
    </r>
    <r>
      <rPr>
        <b/>
        <sz val="9"/>
        <color indexed="36"/>
        <rFont val="Arial"/>
        <family val="2"/>
        <charset val="238"/>
      </rPr>
      <t xml:space="preserve">deska polystyrénová </t>
    </r>
    <r>
      <rPr>
        <sz val="9"/>
        <color indexed="36"/>
        <rFont val="Arial"/>
        <family val="2"/>
        <charset val="238"/>
      </rPr>
      <t>pro snížení kročejového hluku (max. zatížení 4 kN/m2) tl 30mm ; 51,58m2*1,15</t>
    </r>
  </si>
  <si>
    <t>713121111 montáž</t>
  </si>
  <si>
    <t>Čistící zóna - rohož včetně rámu
 podrobnosti viz v.č. D.1.12.1.04 (tabulka místností)</t>
  </si>
  <si>
    <t>viz statika</t>
  </si>
  <si>
    <t xml:space="preserve"> - železobetonová stropní deska viz statika</t>
  </si>
  <si>
    <t xml:space="preserve">poznámka :výměry digitálně odměřené, </t>
  </si>
  <si>
    <t>m.č. 1.1 až 1.4</t>
  </si>
  <si>
    <t>m.č. 1.1 - 6,70*7,46-(14,80m2  presbitář)</t>
  </si>
  <si>
    <t>m.č. 1.2 - 8,40m2</t>
  </si>
  <si>
    <t>m.č. 1.3 - 2,50m2</t>
  </si>
  <si>
    <t>m.č. 1.4 - 5,50 m2</t>
  </si>
  <si>
    <t xml:space="preserve">výměry pro : dilatační pásky + ukončující lišta s trvale pružným tmelem </t>
  </si>
  <si>
    <t xml:space="preserve">m.č. 1.1 - (28,70-11,50) bm </t>
  </si>
  <si>
    <t>m.č. 1.2 - 13,20 bm</t>
  </si>
  <si>
    <t>m.č. 1.3 - 6,50 bm</t>
  </si>
  <si>
    <t>m.č. 1.4 - 9,15 bm</t>
  </si>
  <si>
    <t>sloupy -( 0,80+0,95) bm</t>
  </si>
  <si>
    <t>výměry pro : sokly</t>
  </si>
  <si>
    <t>m.č. 1.1 až 1.4  37,20bm + sloup 0,80+0,95bm</t>
  </si>
  <si>
    <t>P3</t>
  </si>
  <si>
    <r>
      <t xml:space="preserve"> - cementová stěrka s</t>
    </r>
    <r>
      <rPr>
        <sz val="9"/>
        <color indexed="10"/>
        <rFont val="Arial"/>
        <family val="2"/>
        <charset val="238"/>
      </rPr>
      <t xml:space="preserve"> polyuretanovým lakem </t>
    </r>
    <r>
      <rPr>
        <sz val="8"/>
        <color indexed="10"/>
        <rFont val="Arial"/>
        <family val="2"/>
        <charset val="238"/>
      </rPr>
      <t xml:space="preserve">tl </t>
    </r>
    <r>
      <rPr>
        <b/>
        <sz val="8"/>
        <color indexed="10"/>
        <rFont val="Arial"/>
        <family val="2"/>
        <charset val="238"/>
      </rPr>
      <t xml:space="preserve">3mm: </t>
    </r>
    <r>
      <rPr>
        <b/>
        <sz val="9"/>
        <color indexed="10"/>
        <rFont val="Arial"/>
        <family val="2"/>
        <charset val="238"/>
      </rPr>
      <t xml:space="preserve">
   3 vrstvy </t>
    </r>
    <r>
      <rPr>
        <b/>
        <sz val="9"/>
        <color indexed="10"/>
        <rFont val="Arial"/>
        <family val="2"/>
        <charset val="238"/>
      </rPr>
      <t xml:space="preserve">
</t>
    </r>
    <r>
      <rPr>
        <sz val="9"/>
        <color indexed="10"/>
        <rFont val="Arial"/>
        <family val="2"/>
        <charset val="238"/>
      </rPr>
      <t>1a. kontaktní můstek epoxidový -pryskyřice zasypaná 
    pískem (spodní vrstva)</t>
    </r>
    <r>
      <rPr>
        <b/>
        <sz val="9"/>
        <color indexed="10"/>
        <rFont val="Arial"/>
        <family val="2"/>
        <charset val="238"/>
      </rPr>
      <t xml:space="preserve">
</t>
    </r>
    <r>
      <rPr>
        <sz val="9"/>
        <color indexed="10"/>
        <rFont val="Arial"/>
        <family val="2"/>
        <charset val="238"/>
      </rPr>
      <t>2b. strojně gletovaná polymercementová hmota
    2x nanášená a přebroušená</t>
    </r>
    <r>
      <rPr>
        <b/>
        <sz val="9"/>
        <color indexed="10"/>
        <rFont val="Arial"/>
        <family val="2"/>
        <charset val="238"/>
      </rPr>
      <t xml:space="preserve">
</t>
    </r>
    <r>
      <rPr>
        <sz val="9"/>
        <color indexed="10"/>
        <rFont val="Arial"/>
        <family val="2"/>
        <charset val="238"/>
      </rPr>
      <t>3c. dvousložkový polyuretanový lak matný 
     (horní vrstva)</t>
    </r>
  </si>
  <si>
    <t>3d. dvousložkový polyuretanový lak matný - sokl v. 70mm</t>
  </si>
  <si>
    <r>
      <rPr>
        <b/>
        <sz val="9"/>
        <color indexed="10"/>
        <rFont val="Arial"/>
        <family val="2"/>
        <charset val="238"/>
      </rPr>
      <t xml:space="preserve">Ukončující nerezový L profil - ukončení cementové stěrky </t>
    </r>
    <r>
      <rPr>
        <sz val="9"/>
        <color indexed="10"/>
        <rFont val="Arial"/>
        <family val="2"/>
        <charset val="238"/>
      </rPr>
      <t>(minimalizují spáru mezi podlahou a stěnou) +</t>
    </r>
    <r>
      <rPr>
        <b/>
        <sz val="9"/>
        <color indexed="10"/>
        <rFont val="Arial"/>
        <family val="2"/>
        <charset val="238"/>
      </rPr>
      <t xml:space="preserve"> spára bude vyplněna trvale pružným tmelem</t>
    </r>
    <r>
      <rPr>
        <sz val="9"/>
        <color indexed="10"/>
        <rFont val="Arial"/>
        <family val="2"/>
        <charset val="238"/>
      </rPr>
      <t xml:space="preserve"> ;</t>
    </r>
    <r>
      <rPr>
        <b/>
        <sz val="9"/>
        <color indexed="10"/>
        <rFont val="Arial"/>
        <family val="2"/>
        <charset val="238"/>
      </rPr>
      <t xml:space="preserve"> </t>
    </r>
    <r>
      <rPr>
        <sz val="9"/>
        <color indexed="10"/>
        <rFont val="Arial"/>
        <family val="2"/>
        <charset val="238"/>
      </rPr>
      <t xml:space="preserve">   
rozměry viz TZ strana 10 ; výměra 96,86*1,15</t>
    </r>
  </si>
  <si>
    <t xml:space="preserve">poznámka :výměry digitálně odměřené. Upřesnit v dílenské  dokumentaci. </t>
  </si>
  <si>
    <t>m.č. chór + schodiště</t>
  </si>
  <si>
    <t>m.č.  2.1 - chor - 11,12 m2</t>
  </si>
  <si>
    <r>
      <rPr>
        <b/>
        <sz val="9"/>
        <rFont val="Arial"/>
        <family val="2"/>
        <charset val="238"/>
      </rPr>
      <t>v.č.D.1.12.1.03</t>
    </r>
    <r>
      <rPr>
        <sz val="9"/>
        <rFont val="Arial"/>
        <family val="2"/>
        <charset val="238"/>
      </rPr>
      <t xml:space="preserve"> - m.č.08.1 -  plocha stupňů  4,20m2
podstupně - (1,075+1,062+1,331+1,173+1,01+1,005+1,154+1,363+1,174+1,00+1,05+1,30+1,20+1,02+1,01+1,14)*0,192</t>
    </r>
  </si>
  <si>
    <r>
      <rPr>
        <b/>
        <sz val="9"/>
        <rFont val="Arial"/>
        <family val="2"/>
        <charset val="238"/>
      </rPr>
      <t>v.č.D.1.12.1.04</t>
    </r>
    <r>
      <rPr>
        <sz val="9"/>
        <rFont val="Arial"/>
        <family val="2"/>
        <charset val="238"/>
      </rPr>
      <t xml:space="preserve"> - m.č.1.4 plocha - stupně+podesta - 5,50m2
podstupně - (1,075+1,062+1,331+1,173+1,01+1,005+1,154+1,363+1,174+1,00+1,05+1,30+1,20+1,02+1,01+1,14)*0,192</t>
    </r>
  </si>
  <si>
    <r>
      <rPr>
        <b/>
        <sz val="9"/>
        <rFont val="Arial"/>
        <family val="2"/>
        <charset val="238"/>
      </rPr>
      <t>v.č.D.1.12.1.05</t>
    </r>
    <r>
      <rPr>
        <sz val="9"/>
        <rFont val="Arial"/>
        <family val="2"/>
        <charset val="238"/>
      </rPr>
      <t xml:space="preserve"> - m.č.2.2 - plocha - stupně+podesta - 5,50m2
podstupně - (1,075+1,062+1,331+1,173+1,01+1,005+1,154+1,363+1,174+1,00+1,05+1,30+1,20+1,02+1,01+1,14)*0,192</t>
    </r>
  </si>
  <si>
    <r>
      <rPr>
        <b/>
        <sz val="9"/>
        <rFont val="Arial"/>
        <family val="2"/>
        <charset val="238"/>
      </rPr>
      <t>v.č.D.1.12.1.06</t>
    </r>
    <r>
      <rPr>
        <sz val="9"/>
        <rFont val="Arial"/>
        <family val="2"/>
        <charset val="238"/>
      </rPr>
      <t xml:space="preserve"> - m.č.3.1 - plocha - stupně+podesta - 5,50m2
podstupně - (1,075+1,062+1,331+1,173+1,01+1,005+1,154+1,363+1,174+1,00+1,05+1,30+1,20+1,02+1,01+1,14)*0,192</t>
    </r>
  </si>
  <si>
    <r>
      <rPr>
        <b/>
        <sz val="9"/>
        <rFont val="Arial"/>
        <family val="2"/>
        <charset val="238"/>
      </rPr>
      <t>v.č.D.1.12.1.06</t>
    </r>
    <r>
      <rPr>
        <sz val="9"/>
        <rFont val="Arial"/>
        <family val="2"/>
        <charset val="238"/>
      </rPr>
      <t xml:space="preserve"> - m.č.4.1 - plocha - stupně+podesta - 
5,50*2m2
podstupně - (1,075+1,062+1,331+1,173+1,01+1,005+1,154+1,363+1,174+1,00+1,05+1,30+1,20+1,02+1,01+1,14)*0,192*2</t>
    </r>
  </si>
  <si>
    <t>sokly =v. 70mm, na schodišti</t>
  </si>
  <si>
    <r>
      <t>sokly -</t>
    </r>
    <r>
      <rPr>
        <b/>
        <sz val="9"/>
        <rFont val="Arial"/>
        <family val="2"/>
        <charset val="238"/>
      </rPr>
      <t xml:space="preserve"> v.č.D.1.12.1.03</t>
    </r>
    <r>
      <rPr>
        <sz val="9"/>
        <rFont val="Arial"/>
        <family val="2"/>
        <charset val="238"/>
      </rPr>
      <t xml:space="preserve"> - m.č.08.1
7,54+0,192v.*16ks + 0,94+0,192*16</t>
    </r>
  </si>
  <si>
    <r>
      <t xml:space="preserve">sokly - </t>
    </r>
    <r>
      <rPr>
        <b/>
        <sz val="9"/>
        <rFont val="Arial"/>
        <family val="2"/>
        <charset val="238"/>
      </rPr>
      <t>v.č.D.1.12.1.04</t>
    </r>
    <r>
      <rPr>
        <sz val="9"/>
        <rFont val="Arial"/>
        <family val="2"/>
        <charset val="238"/>
      </rPr>
      <t xml:space="preserve"> - m.č.1.4
7,54+0,192v.*16ks + 0,94+0,192*16</t>
    </r>
  </si>
  <si>
    <r>
      <t xml:space="preserve">sokly - </t>
    </r>
    <r>
      <rPr>
        <b/>
        <sz val="9"/>
        <rFont val="Arial"/>
        <family val="2"/>
        <charset val="238"/>
      </rPr>
      <t>v.č.D.1.12.1.05</t>
    </r>
    <r>
      <rPr>
        <sz val="9"/>
        <rFont val="Arial"/>
        <family val="2"/>
        <charset val="238"/>
      </rPr>
      <t xml:space="preserve"> - m.č.2.2
7,54+0,192v.*16ks + 0,94+0,192*16
m.č. 2.1 - chór - 17,60bm</t>
    </r>
  </si>
  <si>
    <r>
      <t xml:space="preserve">sokly - </t>
    </r>
    <r>
      <rPr>
        <b/>
        <sz val="9"/>
        <rFont val="Arial"/>
        <family val="2"/>
        <charset val="238"/>
      </rPr>
      <t xml:space="preserve">v.č.D.1.12.1.06 </t>
    </r>
    <r>
      <rPr>
        <sz val="9"/>
        <rFont val="Arial"/>
        <family val="2"/>
        <charset val="238"/>
      </rPr>
      <t>- m.č.3.1
7,54+0,192v.*16ks + 0,94+0,192*16</t>
    </r>
  </si>
  <si>
    <r>
      <t xml:space="preserve">sokly - </t>
    </r>
    <r>
      <rPr>
        <b/>
        <sz val="9"/>
        <rFont val="Arial"/>
        <family val="2"/>
        <charset val="238"/>
      </rPr>
      <t xml:space="preserve">v.č.D.1.12.1.06 </t>
    </r>
    <r>
      <rPr>
        <sz val="9"/>
        <rFont val="Arial"/>
        <family val="2"/>
        <charset val="238"/>
      </rPr>
      <t>- m.č.4.1
7,54+0,192v.*16ks*2 + 0,94+0,192*16*2</t>
    </r>
  </si>
  <si>
    <t xml:space="preserve">sokl  na </t>
  </si>
  <si>
    <t>P4</t>
  </si>
  <si>
    <r>
      <rPr>
        <b/>
        <sz val="10"/>
        <rFont val="Arial"/>
        <family val="2"/>
        <charset val="238"/>
      </rPr>
      <t xml:space="preserve">Podlaha v presbitáři </t>
    </r>
    <r>
      <rPr>
        <b/>
        <sz val="9"/>
        <rFont val="Arial"/>
        <family val="2"/>
        <charset val="238"/>
      </rPr>
      <t>- 
3. NP - viz   v.č. D.1.12.1.05 + řezy A+B+C</t>
    </r>
  </si>
  <si>
    <r>
      <t xml:space="preserve"> - cementová stěrka s</t>
    </r>
    <r>
      <rPr>
        <sz val="9"/>
        <color indexed="10"/>
        <rFont val="Arial"/>
        <family val="2"/>
        <charset val="238"/>
      </rPr>
      <t xml:space="preserve"> polyuretanovým lakem </t>
    </r>
    <r>
      <rPr>
        <sz val="8"/>
        <color indexed="10"/>
        <rFont val="Arial"/>
        <family val="2"/>
        <charset val="238"/>
      </rPr>
      <t xml:space="preserve">tl </t>
    </r>
    <r>
      <rPr>
        <b/>
        <sz val="8"/>
        <color indexed="10"/>
        <rFont val="Arial"/>
        <family val="2"/>
        <charset val="238"/>
      </rPr>
      <t xml:space="preserve">3mm: </t>
    </r>
    <r>
      <rPr>
        <b/>
        <sz val="9"/>
        <color indexed="10"/>
        <rFont val="Arial"/>
        <family val="2"/>
        <charset val="238"/>
      </rPr>
      <t xml:space="preserve">
   3 vrstvy - </t>
    </r>
    <r>
      <rPr>
        <sz val="9"/>
        <color indexed="10"/>
        <rFont val="Arial"/>
        <family val="2"/>
        <charset val="238"/>
      </rPr>
      <t>výměra: 15,0m2+(6,70*0,16)</t>
    </r>
    <r>
      <rPr>
        <b/>
        <sz val="9"/>
        <color indexed="10"/>
        <rFont val="Arial"/>
        <family val="2"/>
        <charset val="238"/>
      </rPr>
      <t xml:space="preserve">
</t>
    </r>
    <r>
      <rPr>
        <sz val="9"/>
        <color indexed="10"/>
        <rFont val="Arial"/>
        <family val="2"/>
        <charset val="238"/>
      </rPr>
      <t>1a. kontaktní můstek epoxidový -pryskyřice zasypaná 
    pískem (spodní vrstva)</t>
    </r>
    <r>
      <rPr>
        <b/>
        <sz val="9"/>
        <color indexed="10"/>
        <rFont val="Arial"/>
        <family val="2"/>
        <charset val="238"/>
      </rPr>
      <t xml:space="preserve">
</t>
    </r>
    <r>
      <rPr>
        <sz val="9"/>
        <color indexed="10"/>
        <rFont val="Arial"/>
        <family val="2"/>
        <charset val="238"/>
      </rPr>
      <t>2b. strojně gletovaná polymercementová hmota
    2x nanášená a přebroušená</t>
    </r>
    <r>
      <rPr>
        <b/>
        <sz val="9"/>
        <color indexed="10"/>
        <rFont val="Arial"/>
        <family val="2"/>
        <charset val="238"/>
      </rPr>
      <t xml:space="preserve">
</t>
    </r>
    <r>
      <rPr>
        <sz val="9"/>
        <color indexed="10"/>
        <rFont val="Arial"/>
        <family val="2"/>
        <charset val="238"/>
      </rPr>
      <t>3c. dvousložkový polyuretanový lak matný 
     (horní vrstva)</t>
    </r>
  </si>
  <si>
    <r>
      <t xml:space="preserve"> - </t>
    </r>
    <r>
      <rPr>
        <b/>
        <sz val="9"/>
        <color indexed="10"/>
        <rFont val="Arial"/>
        <family val="2"/>
        <charset val="238"/>
      </rPr>
      <t>3d. dvousložkový</t>
    </r>
    <r>
      <rPr>
        <sz val="9"/>
        <color indexed="10"/>
        <rFont val="Arial"/>
        <family val="2"/>
        <charset val="238"/>
      </rPr>
      <t xml:space="preserve"> polyuretanový </t>
    </r>
    <r>
      <rPr>
        <b/>
        <sz val="9"/>
        <color indexed="10"/>
        <rFont val="Arial"/>
        <family val="2"/>
        <charset val="238"/>
      </rPr>
      <t>lak</t>
    </r>
    <r>
      <rPr>
        <sz val="9"/>
        <color indexed="10"/>
        <rFont val="Arial"/>
        <family val="2"/>
        <charset val="238"/>
      </rPr>
      <t xml:space="preserve"> matný - sokl v. 70mm. výměra / 11,50+0,16*2</t>
    </r>
  </si>
  <si>
    <r>
      <rPr>
        <b/>
        <sz val="9"/>
        <color indexed="10"/>
        <rFont val="Arial"/>
        <family val="2"/>
        <charset val="238"/>
      </rPr>
      <t xml:space="preserve"> - Ukončující nerezový L profil - ukončení cementové stěrky </t>
    </r>
    <r>
      <rPr>
        <sz val="9"/>
        <color indexed="10"/>
        <rFont val="Arial"/>
        <family val="2"/>
        <charset val="238"/>
      </rPr>
      <t>(minimalizují spáru mezi podlahou a stěnou) +</t>
    </r>
    <r>
      <rPr>
        <b/>
        <sz val="9"/>
        <color indexed="10"/>
        <rFont val="Arial"/>
        <family val="2"/>
        <charset val="238"/>
      </rPr>
      <t xml:space="preserve"> spára bude vyplněna trvale pružným tmelem</t>
    </r>
    <r>
      <rPr>
        <sz val="9"/>
        <color indexed="10"/>
        <rFont val="Arial"/>
        <family val="2"/>
        <charset val="238"/>
      </rPr>
      <t xml:space="preserve"> ;</t>
    </r>
    <r>
      <rPr>
        <b/>
        <sz val="9"/>
        <color indexed="10"/>
        <rFont val="Arial"/>
        <family val="2"/>
        <charset val="238"/>
      </rPr>
      <t xml:space="preserve"> </t>
    </r>
    <r>
      <rPr>
        <sz val="9"/>
        <color indexed="10"/>
        <rFont val="Arial"/>
        <family val="2"/>
        <charset val="238"/>
      </rPr>
      <t xml:space="preserve">   
rozměry viz TZ strana 10.  výměra : 19,85bm *1,15</t>
    </r>
  </si>
  <si>
    <r>
      <t xml:space="preserve"> -  </t>
    </r>
    <r>
      <rPr>
        <sz val="8"/>
        <color indexed="17"/>
        <rFont val="Arial"/>
        <family val="2"/>
        <charset val="238"/>
      </rPr>
      <t xml:space="preserve">montáž </t>
    </r>
    <r>
      <rPr>
        <sz val="9"/>
        <color indexed="17"/>
        <rFont val="Arial"/>
        <family val="2"/>
        <charset val="238"/>
      </rPr>
      <t xml:space="preserve">- </t>
    </r>
    <r>
      <rPr>
        <b/>
        <sz val="9"/>
        <color indexed="17"/>
        <rFont val="Arial"/>
        <family val="2"/>
        <charset val="238"/>
      </rPr>
      <t xml:space="preserve">dilatační pásky </t>
    </r>
    <r>
      <rPr>
        <sz val="9"/>
        <color indexed="17"/>
        <rFont val="Arial"/>
        <family val="2"/>
        <charset val="238"/>
      </rPr>
      <t>skládaných podlah
    výměra :</t>
    </r>
  </si>
  <si>
    <r>
      <t xml:space="preserve"> - </t>
    </r>
    <r>
      <rPr>
        <sz val="8"/>
        <color indexed="17"/>
        <rFont val="Arial"/>
        <family val="2"/>
        <charset val="238"/>
      </rPr>
      <t>dodávka</t>
    </r>
    <r>
      <rPr>
        <sz val="9"/>
        <color indexed="17"/>
        <rFont val="Arial"/>
        <family val="2"/>
        <charset val="238"/>
      </rPr>
      <t xml:space="preserve"> - </t>
    </r>
    <r>
      <rPr>
        <b/>
        <sz val="9"/>
        <color indexed="17"/>
        <rFont val="Arial"/>
        <family val="2"/>
        <charset val="238"/>
      </rPr>
      <t xml:space="preserve">páska dilatační </t>
    </r>
    <r>
      <rPr>
        <sz val="9"/>
        <color indexed="17"/>
        <rFont val="Arial"/>
        <family val="2"/>
        <charset val="238"/>
      </rPr>
      <t>obvodová
    výměry ; 19,85m2*1,10prořez</t>
    </r>
  </si>
  <si>
    <r>
      <t xml:space="preserve"> - dodávka - </t>
    </r>
    <r>
      <rPr>
        <b/>
        <sz val="9"/>
        <color indexed="30"/>
        <rFont val="Arial"/>
        <family val="2"/>
        <charset val="238"/>
      </rPr>
      <t xml:space="preserve">separační PE fólie
</t>
    </r>
    <r>
      <rPr>
        <sz val="9"/>
        <color indexed="30"/>
        <rFont val="Arial"/>
        <family val="2"/>
        <charset val="238"/>
      </rPr>
      <t xml:space="preserve"> (500kg/m3; tl.1,2mm) oddělující tepelnou izolaci, 
 + přesah 15%.  
Výměry  ; 15m2*1,15</t>
    </r>
  </si>
  <si>
    <r>
      <rPr>
        <sz val="8"/>
        <color indexed="30"/>
        <rFont val="Arial"/>
        <family val="2"/>
        <charset val="238"/>
      </rPr>
      <t>Dtto, avšak montáž</t>
    </r>
    <r>
      <rPr>
        <b/>
        <sz val="8"/>
        <color indexed="30"/>
        <rFont val="Arial"/>
        <family val="2"/>
        <charset val="238"/>
      </rPr>
      <t xml:space="preserve"> </t>
    </r>
    <r>
      <rPr>
        <sz val="9"/>
        <color indexed="30"/>
        <rFont val="Arial"/>
        <family val="2"/>
        <charset val="238"/>
      </rPr>
      <t xml:space="preserve">- </t>
    </r>
    <r>
      <rPr>
        <b/>
        <sz val="9"/>
        <color indexed="30"/>
        <rFont val="Arial"/>
        <family val="2"/>
        <charset val="238"/>
      </rPr>
      <t>překrytí fólií s přelepením spojů</t>
    </r>
  </si>
  <si>
    <r>
      <t xml:space="preserve"> - dodávka -</t>
    </r>
    <r>
      <rPr>
        <sz val="9"/>
        <color indexed="17"/>
        <rFont val="Arial"/>
        <family val="2"/>
        <charset val="238"/>
      </rPr>
      <t xml:space="preserve"> </t>
    </r>
    <r>
      <rPr>
        <b/>
        <sz val="9"/>
        <color indexed="17"/>
        <rFont val="Arial"/>
        <family val="2"/>
        <charset val="238"/>
      </rPr>
      <t>tepelná izolace EPS 100 STABIL tl 160</t>
    </r>
    <r>
      <rPr>
        <sz val="8"/>
        <color indexed="17"/>
        <rFont val="Arial"/>
        <family val="2"/>
        <charset val="238"/>
      </rPr>
      <t>mm (pod oltářní mensou EPS 200 STABIL, plocha 2m</t>
    </r>
    <r>
      <rPr>
        <sz val="7"/>
        <color indexed="17"/>
        <rFont val="Arial"/>
        <family val="2"/>
        <charset val="238"/>
      </rPr>
      <t>2</t>
    </r>
    <r>
      <rPr>
        <sz val="8"/>
        <color indexed="17"/>
        <rFont val="Arial"/>
        <family val="2"/>
        <charset val="238"/>
      </rPr>
      <t>)
(LAMD.=0,032 W/mK)+ prořez 15% 
výměra ; 15,0-2,0 m2*1,15</t>
    </r>
  </si>
  <si>
    <r>
      <rPr>
        <sz val="9"/>
        <color indexed="17"/>
        <rFont val="Arial"/>
        <family val="2"/>
        <charset val="238"/>
      </rPr>
      <t xml:space="preserve">Dtto, avšak montáž - </t>
    </r>
    <r>
      <rPr>
        <sz val="8"/>
        <color indexed="17"/>
        <rFont val="Arial"/>
        <family val="2"/>
        <charset val="238"/>
      </rPr>
      <t xml:space="preserve">
</t>
    </r>
    <r>
      <rPr>
        <sz val="9"/>
        <color indexed="17"/>
        <rFont val="Arial"/>
        <family val="2"/>
        <charset val="238"/>
      </rPr>
      <t>izolace tepelná podlah volně kladená</t>
    </r>
  </si>
  <si>
    <r>
      <t xml:space="preserve"> - dodávka -</t>
    </r>
    <r>
      <rPr>
        <sz val="9"/>
        <color indexed="17"/>
        <rFont val="Arial"/>
        <family val="2"/>
        <charset val="238"/>
      </rPr>
      <t xml:space="preserve"> </t>
    </r>
    <r>
      <rPr>
        <b/>
        <sz val="9"/>
        <color indexed="17"/>
        <rFont val="Arial"/>
        <family val="2"/>
        <charset val="238"/>
      </rPr>
      <t>tepelná izolace EPS 200STABIL tl 160</t>
    </r>
    <r>
      <rPr>
        <sz val="8"/>
        <color indexed="17"/>
        <rFont val="Arial"/>
        <family val="2"/>
        <charset val="238"/>
      </rPr>
      <t>mm (pod oltářní mensou EPS 200 STABIL, plocha 2m</t>
    </r>
    <r>
      <rPr>
        <sz val="7"/>
        <color indexed="17"/>
        <rFont val="Arial"/>
        <family val="2"/>
        <charset val="238"/>
      </rPr>
      <t>2</t>
    </r>
    <r>
      <rPr>
        <sz val="8"/>
        <color indexed="17"/>
        <rFont val="Arial"/>
        <family val="2"/>
        <charset val="238"/>
      </rPr>
      <t>)
(LAMD.=0,032 W/mK)+ prořez 15% 
výměra ; 2,0 m2*1,15</t>
    </r>
  </si>
  <si>
    <r>
      <t xml:space="preserve"> - </t>
    </r>
    <r>
      <rPr>
        <b/>
        <sz val="9"/>
        <rFont val="Arial"/>
        <family val="2"/>
        <charset val="238"/>
      </rPr>
      <t xml:space="preserve">deska polystyrénová </t>
    </r>
    <r>
      <rPr>
        <sz val="9"/>
        <rFont val="Arial"/>
        <family val="2"/>
        <charset val="238"/>
      </rPr>
      <t>pro snížení kročejového hluku (max. zatížení 4 kN/m2)</t>
    </r>
    <r>
      <rPr>
        <b/>
        <sz val="9"/>
        <rFont val="Arial"/>
        <family val="2"/>
        <charset val="238"/>
      </rPr>
      <t xml:space="preserve"> tl 30mm </t>
    </r>
    <r>
      <rPr>
        <sz val="9"/>
        <rFont val="Arial"/>
        <family val="2"/>
        <charset val="238"/>
      </rPr>
      <t>; výměra 15,0m2*1,15</t>
    </r>
  </si>
  <si>
    <r>
      <t xml:space="preserve">Dtto, avšak </t>
    </r>
    <r>
      <rPr>
        <b/>
        <sz val="9"/>
        <rFont val="Arial"/>
        <family val="2"/>
        <charset val="238"/>
      </rPr>
      <t>montáž</t>
    </r>
    <r>
      <rPr>
        <sz val="9"/>
        <rFont val="Arial"/>
        <family val="2"/>
        <charset val="238"/>
      </rPr>
      <t xml:space="preserve"> izolace tepelné podlah volně kladenými deskami 1 vrstva. Výměra : 15,0m2</t>
    </r>
  </si>
  <si>
    <t>skladba 
střech</t>
  </si>
  <si>
    <t>Skladby střech</t>
  </si>
  <si>
    <t>ST1 - Střešní konstrukce - zeleň</t>
  </si>
  <si>
    <r>
      <t xml:space="preserve"> - </t>
    </r>
    <r>
      <rPr>
        <b/>
        <sz val="9"/>
        <color indexed="8"/>
        <rFont val="Arial"/>
        <family val="2"/>
        <charset val="238"/>
      </rPr>
      <t>vícedruhový vegetační</t>
    </r>
    <r>
      <rPr>
        <sz val="9"/>
        <color indexed="8"/>
        <rFont val="Arial"/>
        <family val="2"/>
        <charset val="238"/>
      </rPr>
      <t xml:space="preserve"> rozchodníkový určený pro okamžitou pokládku na 
   extenzivní typ zelené střechy. Tvoří jej s péčí vybrané rozmanité druhy 
   rozchodníku, trvalky s vynikající odolností vůči suchým obdobím, tl. 40 mm (nebo výsadba rostlin dle půdorysu 3.np); </t>
    </r>
    <r>
      <rPr>
        <b/>
        <sz val="9"/>
        <color indexed="8"/>
        <rFont val="Arial"/>
        <family val="2"/>
        <charset val="238"/>
      </rPr>
      <t xml:space="preserve"> výměra:</t>
    </r>
    <r>
      <rPr>
        <sz val="9"/>
        <color indexed="8"/>
        <rFont val="Arial"/>
        <family val="2"/>
        <charset val="238"/>
      </rPr>
      <t xml:space="preserve"> 10,46m2+10,56m2</t>
    </r>
  </si>
  <si>
    <r>
      <t xml:space="preserve"> - </t>
    </r>
    <r>
      <rPr>
        <b/>
        <sz val="9"/>
        <color indexed="8"/>
        <rFont val="Arial"/>
        <family val="2"/>
        <charset val="238"/>
      </rPr>
      <t>extenzivní substrát</t>
    </r>
    <r>
      <rPr>
        <sz val="9"/>
        <color indexed="8"/>
        <rFont val="Arial"/>
        <family val="2"/>
        <charset val="238"/>
      </rPr>
      <t xml:space="preserve"> (po obvodu navýšen 
   k </t>
    </r>
    <r>
      <rPr>
        <sz val="9"/>
        <color indexed="10"/>
        <rFont val="Arial"/>
        <family val="2"/>
        <charset val="238"/>
      </rPr>
      <t xml:space="preserve">betonové dlažbě a věži), tl. 101-163 mm </t>
    </r>
  </si>
  <si>
    <r>
      <t xml:space="preserve"> </t>
    </r>
    <r>
      <rPr>
        <b/>
        <sz val="9"/>
        <color indexed="8"/>
        <rFont val="Arial"/>
        <family val="2"/>
        <charset val="238"/>
      </rPr>
      <t>- filtrační a hydroakumulační vrstva</t>
    </r>
    <r>
      <rPr>
        <sz val="9"/>
        <color indexed="8"/>
        <rFont val="Arial"/>
        <family val="2"/>
        <charset val="238"/>
      </rPr>
      <t xml:space="preserve"> - rohož z minerálního substrátu  
   mechanicky spojena příčným prošíváním, výrazně hydrofilní za účelem 
   uchování vody a vertikálního transportu vláhy v rámci souvrství, tl. 40 mm</t>
    </r>
  </si>
  <si>
    <t>Plánovací cena Dodávka</t>
  </si>
  <si>
    <r>
      <rPr>
        <b/>
        <sz val="9"/>
        <color indexed="17"/>
        <rFont val="Arial"/>
        <family val="2"/>
        <charset val="238"/>
      </rPr>
      <t xml:space="preserve"> - </t>
    </r>
    <r>
      <rPr>
        <b/>
        <sz val="8"/>
        <color indexed="17"/>
        <rFont val="Arial"/>
        <family val="2"/>
        <charset val="238"/>
      </rPr>
      <t>dodávka</t>
    </r>
    <r>
      <rPr>
        <b/>
        <sz val="9"/>
        <color indexed="17"/>
        <rFont val="Arial"/>
        <family val="2"/>
        <charset val="238"/>
      </rPr>
      <t xml:space="preserve"> - hydroizolace</t>
    </r>
    <r>
      <rPr>
        <sz val="9"/>
        <color indexed="17"/>
        <rFont val="Arial"/>
        <family val="2"/>
        <charset val="238"/>
      </rPr>
      <t xml:space="preserve"> - PVC- P fólie se zabudovaným skleněným rounem
   celoplošně přitížená, odolná proti prorůstání kořínků, tl.2 mm </t>
    </r>
  </si>
  <si>
    <r>
      <t xml:space="preserve"> - </t>
    </r>
    <r>
      <rPr>
        <b/>
        <sz val="9"/>
        <color indexed="8"/>
        <rFont val="Arial"/>
        <family val="2"/>
        <charset val="238"/>
      </rPr>
      <t>výměra:</t>
    </r>
    <r>
      <rPr>
        <sz val="9"/>
        <color indexed="8"/>
        <rFont val="Arial"/>
        <family val="2"/>
        <charset val="238"/>
      </rPr>
      <t xml:space="preserve">( 10,70m2+11,00m2+ svislá část(8,85+7,0)*0,15+ vytažení na atiku 
   a věž (8,85+7,00)*0,65m + vytažení na světlík 8,40*0,65m);  
   </t>
    </r>
    <r>
      <rPr>
        <b/>
        <sz val="10"/>
        <color indexed="8"/>
        <rFont val="Arial"/>
        <family val="2"/>
        <charset val="238"/>
      </rPr>
      <t>39,84m2*</t>
    </r>
    <r>
      <rPr>
        <b/>
        <sz val="9"/>
        <color indexed="8"/>
        <rFont val="Arial"/>
        <family val="2"/>
        <charset val="238"/>
      </rPr>
      <t>1,15prořez</t>
    </r>
  </si>
  <si>
    <t>Plánovací cena Montáž</t>
  </si>
  <si>
    <r>
      <t xml:space="preserve"> - </t>
    </r>
    <r>
      <rPr>
        <sz val="9"/>
        <color indexed="17"/>
        <rFont val="Arial"/>
        <family val="2"/>
        <charset val="238"/>
      </rPr>
      <t xml:space="preserve">dtto, avšak </t>
    </r>
    <r>
      <rPr>
        <b/>
        <sz val="9"/>
        <color indexed="17"/>
        <rFont val="Arial"/>
        <family val="2"/>
        <charset val="238"/>
      </rPr>
      <t xml:space="preserve">montáž,  výměra: </t>
    </r>
    <r>
      <rPr>
        <sz val="9"/>
        <color indexed="17"/>
        <rFont val="Arial"/>
        <family val="2"/>
        <charset val="238"/>
      </rPr>
      <t>39,84m2</t>
    </r>
  </si>
  <si>
    <t>Plánovací cena D</t>
  </si>
  <si>
    <r>
      <t xml:space="preserve"> - </t>
    </r>
    <r>
      <rPr>
        <b/>
        <sz val="9"/>
        <color indexed="30"/>
        <rFont val="Arial"/>
        <family val="2"/>
        <charset val="238"/>
      </rPr>
      <t xml:space="preserve">separační vrstva </t>
    </r>
    <r>
      <rPr>
        <sz val="9"/>
        <color indexed="30"/>
        <rFont val="Arial"/>
        <family val="2"/>
        <charset val="238"/>
      </rPr>
      <t>- skleněné rouno , tl. 2 mm ;</t>
    </r>
    <r>
      <rPr>
        <b/>
        <sz val="9"/>
        <color indexed="30"/>
        <rFont val="Arial"/>
        <family val="2"/>
        <charset val="238"/>
      </rPr>
      <t xml:space="preserve"> výměra </t>
    </r>
    <r>
      <rPr>
        <sz val="9"/>
        <color indexed="30"/>
        <rFont val="Arial"/>
        <family val="2"/>
        <charset val="238"/>
      </rPr>
      <t>39,84m2*1,15prořez</t>
    </r>
  </si>
  <si>
    <r>
      <t xml:space="preserve"> - </t>
    </r>
    <r>
      <rPr>
        <sz val="8"/>
        <color indexed="30"/>
        <rFont val="Arial"/>
        <family val="2"/>
        <charset val="238"/>
      </rPr>
      <t>dtto, avšak montáž</t>
    </r>
  </si>
  <si>
    <r>
      <t xml:space="preserve"> - tepelná izolace Isover EPS 200 S (lamd.=0,037 w/mk) tl. 200 mm  + spádové klíny se sklonem 2%. celková tl. tepelné izolace 220-360 mm ;
 výměra : (10,46+10,56)m2*</t>
    </r>
    <r>
      <rPr>
        <sz val="8"/>
        <color indexed="8"/>
        <rFont val="Arial"/>
        <family val="2"/>
        <charset val="238"/>
      </rPr>
      <t>1,15prořez</t>
    </r>
  </si>
  <si>
    <r>
      <t xml:space="preserve"> - </t>
    </r>
    <r>
      <rPr>
        <sz val="8"/>
        <color indexed="17"/>
        <rFont val="Arial"/>
        <family val="2"/>
        <charset val="238"/>
      </rPr>
      <t>dtto, avšak montáž</t>
    </r>
  </si>
  <si>
    <t>Plánovací cena Dod</t>
  </si>
  <si>
    <r>
      <t xml:space="preserve"> -</t>
    </r>
    <r>
      <rPr>
        <b/>
        <sz val="9"/>
        <color indexed="8"/>
        <rFont val="Arial"/>
        <family val="2"/>
        <charset val="238"/>
      </rPr>
      <t xml:space="preserve"> pás z SBS modifikovaného asfaltu s</t>
    </r>
    <r>
      <rPr>
        <sz val="9"/>
        <color indexed="8"/>
        <rFont val="Arial"/>
        <family val="2"/>
        <charset val="238"/>
      </rPr>
      <t xml:space="preserve"> nosnou vložkou z polyesterové rohože. Pás je na horním povrchu opatřen jemným separačním posypem a na spodním separační PE fólií, tl. 4mm</t>
    </r>
  </si>
  <si>
    <r>
      <rPr>
        <b/>
        <sz val="9"/>
        <color indexed="8"/>
        <rFont val="Arial"/>
        <family val="2"/>
        <charset val="238"/>
      </rPr>
      <t>výměra:</t>
    </r>
    <r>
      <rPr>
        <sz val="9"/>
        <color indexed="8"/>
        <rFont val="Arial"/>
        <family val="2"/>
        <charset val="238"/>
      </rPr>
      <t xml:space="preserve"> 10,70m2+11,00m2+ svislá část(8,85+7,0)*0,15+ vytažení na atiku (8,85+7,00)*0,85m + vytažení na světlík 8,40*0,75m  ; 43,85m2*</t>
    </r>
    <r>
      <rPr>
        <sz val="8"/>
        <color indexed="8"/>
        <rFont val="Arial"/>
        <family val="2"/>
        <charset val="238"/>
      </rPr>
      <t>1,15prořez</t>
    </r>
  </si>
  <si>
    <r>
      <t xml:space="preserve"> - </t>
    </r>
    <r>
      <rPr>
        <sz val="8"/>
        <color indexed="17"/>
        <rFont val="Arial"/>
        <family val="2"/>
        <charset val="238"/>
      </rPr>
      <t>dtto, avšak montáž - vodorovná ; výměra 10,70m2+11,00m2+(8,85+7,0)*0,15</t>
    </r>
  </si>
  <si>
    <r>
      <t xml:space="preserve"> - </t>
    </r>
    <r>
      <rPr>
        <sz val="8"/>
        <color indexed="17"/>
        <rFont val="Arial"/>
        <family val="2"/>
        <charset val="238"/>
      </rPr>
      <t>dtto, avšak montáž - svislá ; výměra (8,85+7,00)*0,85m + 8,40*0,75m</t>
    </r>
  </si>
  <si>
    <t>712312101</t>
  </si>
  <si>
    <r>
      <t xml:space="preserve"> -</t>
    </r>
    <r>
      <rPr>
        <b/>
        <sz val="9"/>
        <color indexed="8"/>
        <rFont val="Arial"/>
        <family val="2"/>
        <charset val="238"/>
      </rPr>
      <t xml:space="preserve"> za studena zpracovatelná </t>
    </r>
    <r>
      <rPr>
        <sz val="9"/>
        <color indexed="8"/>
        <rFont val="Arial"/>
        <family val="2"/>
        <charset val="238"/>
      </rPr>
      <t>asfaltová penetrační emulze na beton 
 výměra : 10,7+11+(8,85+7)*0,15+ (8,85+7)*0,85 + 8,4*0,75</t>
    </r>
  </si>
  <si>
    <t xml:space="preserve"> - železobetonová deska  tl. 220 mm </t>
  </si>
  <si>
    <r>
      <t xml:space="preserve"> - </t>
    </r>
    <r>
      <rPr>
        <b/>
        <sz val="9"/>
        <color indexed="8"/>
        <rFont val="Arial"/>
        <family val="2"/>
        <charset val="238"/>
      </rPr>
      <t>silikátová akustická omítka bílá</t>
    </r>
    <r>
      <rPr>
        <sz val="9"/>
        <color indexed="8"/>
        <rFont val="Arial"/>
        <family val="2"/>
        <charset val="238"/>
      </rPr>
      <t xml:space="preserve"> αw = 0,45, tl. 15mm </t>
    </r>
    <r>
      <rPr>
        <sz val="9"/>
        <color indexed="10"/>
        <rFont val="Arial"/>
        <family val="2"/>
        <charset val="238"/>
      </rPr>
      <t>vnitřní nebo vnější ?</t>
    </r>
  </si>
  <si>
    <r>
      <rPr>
        <b/>
        <sz val="9"/>
        <color indexed="8"/>
        <rFont val="Arial"/>
        <family val="2"/>
        <charset val="238"/>
      </rPr>
      <t xml:space="preserve"> výměra:</t>
    </r>
    <r>
      <rPr>
        <sz val="9"/>
        <color indexed="8"/>
        <rFont val="Arial"/>
        <family val="2"/>
        <charset val="238"/>
      </rPr>
      <t xml:space="preserve"> 59,60m2-světlík 5,68m2+kuželová plocha 6,20m2;  </t>
    </r>
    <r>
      <rPr>
        <sz val="9"/>
        <color indexed="8"/>
        <rFont val="Calibri"/>
        <family val="2"/>
        <charset val="238"/>
      </rPr>
      <t>∑ 71,50m2</t>
    </r>
  </si>
  <si>
    <r>
      <t xml:space="preserve"> -</t>
    </r>
    <r>
      <rPr>
        <b/>
        <sz val="9"/>
        <color indexed="8"/>
        <rFont val="Arial"/>
        <family val="2"/>
        <charset val="238"/>
      </rPr>
      <t xml:space="preserve"> Přepad pojistný </t>
    </r>
    <r>
      <rPr>
        <sz val="9"/>
        <color indexed="8"/>
        <rFont val="Arial"/>
        <family val="2"/>
        <charset val="238"/>
      </rPr>
      <t>hranatý 50/100mm, dl. cca 600mm , včetně vodotěsných 
    prostupů konstrukcemi, vodotěsná manžeta - s integrovaným límcem z fólie z měkčeného PVC pro napojení, včetně kotvení, kompletní  provedení</t>
    </r>
  </si>
  <si>
    <r>
      <t xml:space="preserve"> - </t>
    </r>
    <r>
      <rPr>
        <b/>
        <sz val="9"/>
        <color indexed="8"/>
        <rFont val="Arial"/>
        <family val="2"/>
        <charset val="238"/>
      </rPr>
      <t xml:space="preserve">Střešní vpust </t>
    </r>
    <r>
      <rPr>
        <sz val="9"/>
        <color indexed="8"/>
        <rFont val="Arial"/>
        <family val="2"/>
        <charset val="238"/>
      </rPr>
      <t xml:space="preserve">vodorovná vyhřívaná ∅ 110 mm, PVC manžeta - integrovaným límcem z fólie z měkčeného PVC pro napojení,  včetně vodotěsných prostupů konstrukcemi,  včetně vodotěsných prostupů konstrukcemi, včetně kotvení, kompletní provedení </t>
    </r>
  </si>
  <si>
    <r>
      <t xml:space="preserve"> - </t>
    </r>
    <r>
      <rPr>
        <b/>
        <sz val="9"/>
        <color indexed="8"/>
        <rFont val="Arial"/>
        <family val="2"/>
        <charset val="238"/>
      </rPr>
      <t>Ochraná šachta</t>
    </r>
    <r>
      <rPr>
        <sz val="9"/>
        <color indexed="8"/>
        <rFont val="Arial"/>
        <family val="2"/>
        <charset val="238"/>
      </rPr>
      <t xml:space="preserve"> pro střešní vpust 400 x 400 mm, nerezová, + krycí mřížka +
   kotvení,  prodloužená výška dle střešního souvrství,  kompletní provedení</t>
    </r>
  </si>
  <si>
    <r>
      <t xml:space="preserve"> -</t>
    </r>
    <r>
      <rPr>
        <b/>
        <sz val="9"/>
        <color indexed="8"/>
        <rFont val="Arial"/>
        <family val="2"/>
        <charset val="238"/>
      </rPr>
      <t xml:space="preserve"> Odtok trubkou</t>
    </r>
    <r>
      <rPr>
        <sz val="9"/>
        <color indexed="8"/>
        <rFont val="Arial"/>
        <family val="2"/>
        <charset val="238"/>
      </rPr>
      <t xml:space="preserve"> ze střešní vpusti hranatý 100/100mm, dl. cca 1,20mm, 
    včetně napojení na svislý svod, včetně vodotěsných prostupů konstrukcemi,
    vodotěsná manžeta - s integrovaným límcem z fólie z měkčeného PVC pro napojení, včetně kotvení, kompletní provedení</t>
    </r>
  </si>
  <si>
    <r>
      <t xml:space="preserve"> -</t>
    </r>
    <r>
      <rPr>
        <b/>
        <sz val="9"/>
        <color indexed="8"/>
        <rFont val="Arial"/>
        <family val="2"/>
        <charset val="238"/>
      </rPr>
      <t xml:space="preserve"> Betonové dlaždice </t>
    </r>
    <r>
      <rPr>
        <sz val="9"/>
        <color indexed="8"/>
        <rFont val="Arial"/>
        <family val="2"/>
        <charset val="238"/>
      </rPr>
      <t xml:space="preserve">tl. 60 mm, vel. cca </t>
    </r>
    <r>
      <rPr>
        <sz val="9"/>
        <color indexed="10"/>
        <rFont val="Arial"/>
        <family val="2"/>
        <charset val="238"/>
      </rPr>
      <t xml:space="preserve"> 394 x 277 mm a 246 x 56 mm, uložené na pískovém loži,  kompletní provedení, v místech oblouků lichoběžníkové tvary dlaždic na míru</t>
    </r>
    <r>
      <rPr>
        <sz val="9"/>
        <color indexed="8"/>
        <rFont val="Arial"/>
        <family val="2"/>
        <charset val="238"/>
      </rPr>
      <t>,</t>
    </r>
    <r>
      <rPr>
        <b/>
        <sz val="9"/>
        <color indexed="8"/>
        <rFont val="Arial"/>
        <family val="2"/>
        <charset val="238"/>
      </rPr>
      <t xml:space="preserve"> výměra:</t>
    </r>
    <r>
      <rPr>
        <sz val="9"/>
        <color indexed="8"/>
        <rFont val="Arial"/>
        <family val="2"/>
        <charset val="238"/>
      </rPr>
      <t xml:space="preserve"> 28,90m*0,40m</t>
    </r>
  </si>
  <si>
    <r>
      <t xml:space="preserve"> -</t>
    </r>
    <r>
      <rPr>
        <b/>
        <sz val="9"/>
        <color indexed="8"/>
        <rFont val="Arial"/>
        <family val="2"/>
        <charset val="238"/>
      </rPr>
      <t xml:space="preserve"> Klíny z  EPS 200 S,</t>
    </r>
    <r>
      <rPr>
        <sz val="9"/>
        <color indexed="8"/>
        <rFont val="Arial"/>
        <family val="2"/>
        <charset val="238"/>
      </rPr>
      <t xml:space="preserve"> vel. cca100x100mm,  pro přechod hydroizolace ze svislé
   na vodorovnou plochu ; </t>
    </r>
    <r>
      <rPr>
        <b/>
        <sz val="9"/>
        <color indexed="8"/>
        <rFont val="Arial"/>
        <family val="2"/>
        <charset val="238"/>
      </rPr>
      <t>výměra:</t>
    </r>
    <r>
      <rPr>
        <sz val="9"/>
        <color indexed="8"/>
        <rFont val="Arial"/>
        <family val="2"/>
        <charset val="238"/>
      </rPr>
      <t xml:space="preserve"> (27,30m+4,30m)*2</t>
    </r>
  </si>
  <si>
    <r>
      <t xml:space="preserve"> - </t>
    </r>
    <r>
      <rPr>
        <b/>
        <sz val="9"/>
        <color indexed="8"/>
        <rFont val="Arial"/>
        <family val="2"/>
        <charset val="238"/>
      </rPr>
      <t>Oplechování soklu</t>
    </r>
    <r>
      <rPr>
        <sz val="9"/>
        <color indexed="8"/>
        <rFont val="Arial"/>
        <family val="2"/>
        <charset val="238"/>
      </rPr>
      <t xml:space="preserve"> věže na střeše, v. cca 200mm, r.š.cca 300mm   
   </t>
    </r>
    <r>
      <rPr>
        <b/>
        <sz val="9"/>
        <color indexed="8"/>
        <rFont val="Arial"/>
        <family val="2"/>
        <charset val="238"/>
      </rPr>
      <t xml:space="preserve"> výměra: 5,0m</t>
    </r>
  </si>
  <si>
    <r>
      <t xml:space="preserve"> - </t>
    </r>
    <r>
      <rPr>
        <b/>
        <sz val="9"/>
        <color indexed="8"/>
        <rFont val="Arial"/>
        <family val="2"/>
        <charset val="238"/>
      </rPr>
      <t>34x výsadba rostlin:</t>
    </r>
    <r>
      <rPr>
        <sz val="9"/>
        <color indexed="8"/>
        <rFont val="Arial"/>
        <family val="2"/>
        <charset val="238"/>
      </rPr>
      <t xml:space="preserve"> travnička přímořská (armeria maritima), včetně
   pěstebného souvrství a finálního povrchu, dodání dlouhodobě působícího
   hnojiva,  rozvojová péče o trvalky 2 roky</t>
    </r>
  </si>
  <si>
    <r>
      <t xml:space="preserve"> - </t>
    </r>
    <r>
      <rPr>
        <b/>
        <sz val="9"/>
        <color indexed="8"/>
        <rFont val="Arial"/>
        <family val="2"/>
        <charset val="238"/>
      </rPr>
      <t>15x výsadba rostlin:</t>
    </r>
    <r>
      <rPr>
        <sz val="9"/>
        <color indexed="8"/>
        <rFont val="Arial"/>
        <family val="2"/>
        <charset val="238"/>
      </rPr>
      <t xml:space="preserve"> kostřava ovčí (festuca ovina), včetně pěstebného 
     souvrství a finálního povrchu, dodání dlouhodobě působícího hnojiva, 
     rozvojová péče o trvalky 2 roky</t>
    </r>
  </si>
  <si>
    <r>
      <rPr>
        <b/>
        <sz val="9"/>
        <color indexed="8"/>
        <rFont val="Arial"/>
        <family val="2"/>
        <charset val="238"/>
      </rPr>
      <t xml:space="preserve"> - 32x výsadba rostlin</t>
    </r>
    <r>
      <rPr>
        <sz val="9"/>
        <color indexed="8"/>
        <rFont val="Arial"/>
        <family val="2"/>
        <charset val="238"/>
      </rPr>
      <t>: hvozdník kropenatý briliant,  včetně pěstebného 
    souvrství a finálního povrchu, dodání dlouhodobě působícího hnojiva, 
    rozvojová péče o trvalky 2 roky</t>
    </r>
  </si>
  <si>
    <r>
      <t xml:space="preserve"> - </t>
    </r>
    <r>
      <rPr>
        <b/>
        <sz val="9"/>
        <color indexed="8"/>
        <rFont val="Arial"/>
        <family val="2"/>
        <charset val="238"/>
      </rPr>
      <t>Kačírek 16/32 mm,</t>
    </r>
    <r>
      <rPr>
        <sz val="9"/>
        <color indexed="8"/>
        <rFont val="Arial"/>
        <family val="2"/>
        <charset val="238"/>
      </rPr>
      <t xml:space="preserve"> tl. cca  200mm; </t>
    </r>
    <r>
      <rPr>
        <b/>
        <sz val="9"/>
        <color indexed="8"/>
        <rFont val="Arial"/>
        <family val="2"/>
        <charset val="238"/>
      </rPr>
      <t>výměra:</t>
    </r>
    <r>
      <rPr>
        <sz val="9"/>
        <color indexed="8"/>
        <rFont val="Arial"/>
        <family val="2"/>
        <charset val="238"/>
      </rPr>
      <t xml:space="preserve"> 2,4m*0,20m*0,20m*2ks</t>
    </r>
  </si>
  <si>
    <r>
      <t xml:space="preserve"> -</t>
    </r>
    <r>
      <rPr>
        <b/>
        <sz val="9"/>
        <color indexed="8"/>
        <rFont val="Arial"/>
        <family val="2"/>
        <charset val="238"/>
      </rPr>
      <t xml:space="preserve"> Prostup výdechového objektu VZT </t>
    </r>
    <r>
      <rPr>
        <sz val="9"/>
        <color indexed="8"/>
        <rFont val="Arial"/>
        <family val="2"/>
        <charset val="238"/>
      </rPr>
      <t>střechou</t>
    </r>
    <r>
      <rPr>
        <b/>
        <sz val="9"/>
        <color indexed="8"/>
        <rFont val="Arial"/>
        <family val="2"/>
        <charset val="238"/>
      </rPr>
      <t>,</t>
    </r>
    <r>
      <rPr>
        <sz val="9"/>
        <color indexed="8"/>
        <rFont val="Arial"/>
        <family val="2"/>
        <charset val="238"/>
      </rPr>
      <t xml:space="preserve"> vel. cca 400x200mm,  včetně vodotěsných prostupů konstrukcemi, vodotěsná manžeta, včetně kotvení, kompletní provedení</t>
    </r>
  </si>
  <si>
    <r>
      <rPr>
        <b/>
        <sz val="9"/>
        <color indexed="8"/>
        <rFont val="Arial"/>
        <family val="2"/>
        <charset val="238"/>
      </rPr>
      <t xml:space="preserve"> - Tepelná izolace z fenolické pěny, </t>
    </r>
    <r>
      <rPr>
        <sz val="9"/>
        <color indexed="8"/>
        <rFont val="Arial"/>
        <family val="2"/>
        <charset val="238"/>
      </rPr>
      <t xml:space="preserve">na střeše, součinitel tepelné vodivosti max 0,020 w/m.k, tl. 50 mm ; </t>
    </r>
    <r>
      <rPr>
        <b/>
        <sz val="9"/>
        <color indexed="8"/>
        <rFont val="Arial"/>
        <family val="2"/>
        <charset val="238"/>
      </rPr>
      <t xml:space="preserve">výměra </t>
    </r>
    <r>
      <rPr>
        <b/>
        <sz val="9"/>
        <color indexed="8"/>
        <rFont val="Calibri"/>
        <family val="2"/>
        <charset val="238"/>
      </rPr>
      <t>∑</t>
    </r>
    <r>
      <rPr>
        <b/>
        <sz val="9"/>
        <color indexed="8"/>
        <rFont val="Arial"/>
        <family val="2"/>
        <charset val="238"/>
      </rPr>
      <t xml:space="preserve"> </t>
    </r>
    <r>
      <rPr>
        <sz val="9"/>
        <color indexed="8"/>
        <rFont val="Arial"/>
        <family val="2"/>
        <charset val="238"/>
      </rPr>
      <t xml:space="preserve">: </t>
    </r>
    <r>
      <rPr>
        <b/>
        <sz val="9"/>
        <color indexed="8"/>
        <rFont val="Arial"/>
        <family val="2"/>
        <charset val="238"/>
      </rPr>
      <t>51,588m2</t>
    </r>
  </si>
  <si>
    <r>
      <rPr>
        <b/>
        <sz val="9"/>
        <color indexed="8"/>
        <rFont val="Arial"/>
        <family val="2"/>
        <charset val="238"/>
      </rPr>
      <t xml:space="preserve"> výměra:</t>
    </r>
    <r>
      <rPr>
        <sz val="9"/>
        <color indexed="8"/>
        <rFont val="Arial"/>
        <family val="2"/>
        <charset val="238"/>
      </rPr>
      <t xml:space="preserve">   věž střecha, 2,50m*4*dl.1,00m + na výlez (0,72m+0,97m)*2*0,60+
  pod vpustí 0,50m*0,50m +pod trubním odtokem 0,60*0,20</t>
    </r>
  </si>
  <si>
    <t xml:space="preserve">  kaple střecha, výměra:1,05m*dl. 28,9m</t>
  </si>
  <si>
    <t xml:space="preserve">  kolem světlíku, výměra:dl.  0,90bm*8,45bm</t>
  </si>
  <si>
    <t xml:space="preserve">  pod vpustmi a pod trubními odtoky, výměra: 0,50m*0,50m*2ks +
  1,20m*0,2m*2ks+0,65m*0,2m*2ks</t>
  </si>
  <si>
    <t>skladba podlah</t>
  </si>
  <si>
    <t>ST2 - střešní konstrukce - terasa</t>
  </si>
  <si>
    <r>
      <t xml:space="preserve"> -</t>
    </r>
    <r>
      <rPr>
        <b/>
        <sz val="9"/>
        <color indexed="8"/>
        <rFont val="Arial"/>
        <family val="2"/>
        <charset val="238"/>
      </rPr>
      <t xml:space="preserve"> terasová prkna s drážkami - dřevo garapa, </t>
    </r>
    <r>
      <rPr>
        <sz val="9"/>
        <color indexed="8"/>
        <rFont val="Arial"/>
        <family val="2"/>
        <charset val="238"/>
      </rPr>
      <t xml:space="preserve">(na okrajích ve styku se zelenou střechou svislé obložení boků prkny výšky 100 mm),  tl.  25 mm;
 </t>
    </r>
    <r>
      <rPr>
        <b/>
        <sz val="9"/>
        <color indexed="8"/>
        <rFont val="Arial"/>
        <family val="2"/>
        <charset val="238"/>
      </rPr>
      <t xml:space="preserve"> výměra:</t>
    </r>
    <r>
      <rPr>
        <sz val="9"/>
        <color indexed="8"/>
        <rFont val="Arial"/>
        <family val="2"/>
        <charset val="238"/>
      </rPr>
      <t xml:space="preserve"> (3</t>
    </r>
    <r>
      <rPr>
        <sz val="9"/>
        <color indexed="8"/>
        <rFont val="Arial"/>
        <family val="2"/>
        <charset val="238"/>
      </rPr>
      <t xml:space="preserve">0,95m2+(8,0+3,1+3,35)*0,1)m2  +1,10% prořez                                                                                 </t>
    </r>
  </si>
  <si>
    <r>
      <t xml:space="preserve"> - </t>
    </r>
    <r>
      <rPr>
        <b/>
        <sz val="9"/>
        <color indexed="8"/>
        <rFont val="Arial"/>
        <family val="2"/>
        <charset val="238"/>
      </rPr>
      <t xml:space="preserve">podkladní dřevěný rošt, tl. 50 mm      </t>
    </r>
    <r>
      <rPr>
        <sz val="9"/>
        <color indexed="8"/>
        <rFont val="Arial"/>
        <family val="2"/>
        <charset val="238"/>
      </rPr>
      <t xml:space="preserve">                                                                     </t>
    </r>
  </si>
  <si>
    <r>
      <t xml:space="preserve"> - </t>
    </r>
    <r>
      <rPr>
        <b/>
        <sz val="9"/>
        <color indexed="8"/>
        <rFont val="Arial"/>
        <family val="2"/>
        <charset val="238"/>
      </rPr>
      <t>betonové podložky + rektifikační podstavce</t>
    </r>
    <r>
      <rPr>
        <sz val="9"/>
        <color indexed="8"/>
        <rFont val="Arial"/>
        <family val="2"/>
        <charset val="238"/>
      </rPr>
      <t xml:space="preserve">, tl. 123-178 mm                                       </t>
    </r>
  </si>
  <si>
    <r>
      <t xml:space="preserve"> - </t>
    </r>
    <r>
      <rPr>
        <b/>
        <sz val="9"/>
        <color indexed="17"/>
        <rFont val="Arial"/>
        <family val="2"/>
        <charset val="238"/>
      </rPr>
      <t xml:space="preserve">hydroizolace - PVC-P fólie </t>
    </r>
    <r>
      <rPr>
        <sz val="9"/>
        <color indexed="17"/>
        <rFont val="Arial"/>
        <family val="2"/>
        <charset val="238"/>
      </rPr>
      <t xml:space="preserve">se zabudovaným skleněným rounem celoplošně 
přitížená, odolná proti  prorůstání kořínků, tl.  2 mm ; </t>
    </r>
  </si>
  <si>
    <r>
      <t xml:space="preserve"> - výměra: 31,75m2+ svislá část(13,50m+3,4)*0,15+ vytažení na atiku(13,50m+3,4)*0,65m . v</t>
    </r>
    <r>
      <rPr>
        <b/>
        <sz val="9"/>
        <color indexed="8"/>
        <rFont val="Arial"/>
        <family val="2"/>
        <charset val="238"/>
      </rPr>
      <t>ýměra ∑ 45,27m2+1,15 prořez</t>
    </r>
  </si>
  <si>
    <r>
      <t xml:space="preserve"> - </t>
    </r>
    <r>
      <rPr>
        <sz val="8"/>
        <color indexed="17"/>
        <rFont val="Arial"/>
        <family val="2"/>
        <charset val="238"/>
      </rPr>
      <t xml:space="preserve">dtto, avšak </t>
    </r>
    <r>
      <rPr>
        <b/>
        <sz val="9"/>
        <color indexed="17"/>
        <rFont val="Arial"/>
        <family val="2"/>
        <charset val="238"/>
      </rPr>
      <t>montáž;   výměra ∑ 45,27m2</t>
    </r>
  </si>
  <si>
    <r>
      <t xml:space="preserve"> - </t>
    </r>
    <r>
      <rPr>
        <b/>
        <sz val="9"/>
        <color indexed="30"/>
        <rFont val="Arial"/>
        <family val="2"/>
        <charset val="238"/>
      </rPr>
      <t xml:space="preserve">separační vrstva </t>
    </r>
    <r>
      <rPr>
        <sz val="9"/>
        <color indexed="30"/>
        <rFont val="Arial"/>
        <family val="2"/>
        <charset val="238"/>
      </rPr>
      <t>-skleněné rouno, tl.2 mm ; výměra ∑ 45,27m2+1,15 prořez</t>
    </r>
  </si>
  <si>
    <r>
      <t xml:space="preserve"> - </t>
    </r>
    <r>
      <rPr>
        <sz val="8"/>
        <color indexed="30"/>
        <rFont val="Arial"/>
        <family val="2"/>
        <charset val="238"/>
      </rPr>
      <t xml:space="preserve">dtto, avšak </t>
    </r>
    <r>
      <rPr>
        <b/>
        <sz val="9"/>
        <color indexed="30"/>
        <rFont val="Arial"/>
        <family val="2"/>
        <charset val="238"/>
      </rPr>
      <t>montáž - výměra ∑ 45,27m2</t>
    </r>
  </si>
  <si>
    <r>
      <t xml:space="preserve"> - </t>
    </r>
    <r>
      <rPr>
        <b/>
        <sz val="9"/>
        <color indexed="8"/>
        <rFont val="Arial"/>
        <family val="2"/>
        <charset val="238"/>
      </rPr>
      <t xml:space="preserve">tepelná izolace EPS 200 S </t>
    </r>
    <r>
      <rPr>
        <sz val="9"/>
        <color indexed="8"/>
        <rFont val="Arial"/>
        <family val="2"/>
        <charset val="238"/>
      </rPr>
      <t xml:space="preserve">(lamd.=0,037 w/mk) 200 mm   + spádové klíny se sklonem 2%, celková tl. tepelné izolace 220-360 mm ;  
</t>
    </r>
    <r>
      <rPr>
        <b/>
        <sz val="9"/>
        <color indexed="8"/>
        <rFont val="Arial"/>
        <family val="2"/>
        <charset val="238"/>
      </rPr>
      <t xml:space="preserve">výměra </t>
    </r>
    <r>
      <rPr>
        <sz val="9"/>
        <color indexed="8"/>
        <rFont val="Arial"/>
        <family val="2"/>
        <charset val="238"/>
      </rPr>
      <t>∑ 30,95m2*1,15prořez</t>
    </r>
  </si>
  <si>
    <r>
      <t xml:space="preserve"> - </t>
    </r>
    <r>
      <rPr>
        <sz val="8"/>
        <rFont val="Arial"/>
        <family val="2"/>
        <charset val="238"/>
      </rPr>
      <t xml:space="preserve">dtto, avšak </t>
    </r>
    <r>
      <rPr>
        <b/>
        <sz val="9"/>
        <rFont val="Arial"/>
        <family val="2"/>
        <charset val="238"/>
      </rPr>
      <t>montáž - výměra ∑ 30,95m2*1,15</t>
    </r>
  </si>
  <si>
    <r>
      <t xml:space="preserve"> - </t>
    </r>
    <r>
      <rPr>
        <b/>
        <sz val="9"/>
        <color indexed="17"/>
        <rFont val="Arial"/>
        <family val="2"/>
        <charset val="238"/>
      </rPr>
      <t>pás z SBS modifikovaného asfaltu</t>
    </r>
    <r>
      <rPr>
        <sz val="9"/>
        <color indexed="17"/>
        <rFont val="Arial"/>
        <family val="2"/>
        <charset val="238"/>
      </rPr>
      <t xml:space="preserve"> s nosnou vložkou z polyesterové rohože. Pás je na horním povrchu opatřen jemným separačním posypem a na spodním separační PE fólií, tl. 4mm                                                                              </t>
    </r>
  </si>
  <si>
    <t>výměra:(31,75m2+vytažení na atiku(13,5m+3,4)*0,85m )*1,15prořez</t>
  </si>
  <si>
    <r>
      <t xml:space="preserve"> - </t>
    </r>
    <r>
      <rPr>
        <sz val="8"/>
        <color indexed="17"/>
        <rFont val="Arial"/>
        <family val="2"/>
        <charset val="238"/>
      </rPr>
      <t xml:space="preserve">dtto, avšak </t>
    </r>
    <r>
      <rPr>
        <b/>
        <sz val="9"/>
        <color indexed="17"/>
        <rFont val="Arial"/>
        <family val="2"/>
        <charset val="238"/>
      </rPr>
      <t xml:space="preserve">montáž - vodorovná </t>
    </r>
    <r>
      <rPr>
        <sz val="9"/>
        <color indexed="17"/>
        <rFont val="Arial"/>
        <family val="2"/>
        <charset val="238"/>
      </rPr>
      <t>;</t>
    </r>
    <r>
      <rPr>
        <b/>
        <sz val="9"/>
        <color indexed="17"/>
        <rFont val="Arial"/>
        <family val="2"/>
        <charset val="238"/>
      </rPr>
      <t xml:space="preserve"> výměra :31,75m2</t>
    </r>
  </si>
  <si>
    <r>
      <t xml:space="preserve"> - </t>
    </r>
    <r>
      <rPr>
        <sz val="8"/>
        <color indexed="17"/>
        <rFont val="Arial"/>
        <family val="2"/>
        <charset val="238"/>
      </rPr>
      <t xml:space="preserve">dtto, avšak </t>
    </r>
    <r>
      <rPr>
        <sz val="9"/>
        <color indexed="17"/>
        <rFont val="Arial"/>
        <family val="2"/>
        <charset val="238"/>
      </rPr>
      <t xml:space="preserve">montáž - </t>
    </r>
    <r>
      <rPr>
        <b/>
        <sz val="9"/>
        <color indexed="17"/>
        <rFont val="Arial"/>
        <family val="2"/>
        <charset val="238"/>
      </rPr>
      <t>svislá</t>
    </r>
    <r>
      <rPr>
        <sz val="9"/>
        <color indexed="17"/>
        <rFont val="Arial"/>
        <family val="2"/>
        <charset val="238"/>
      </rPr>
      <t xml:space="preserve"> ; (13,5+3,4)*0,85</t>
    </r>
  </si>
  <si>
    <r>
      <t xml:space="preserve"> - </t>
    </r>
    <r>
      <rPr>
        <b/>
        <sz val="9"/>
        <color indexed="8"/>
        <rFont val="Arial"/>
        <family val="2"/>
        <charset val="238"/>
      </rPr>
      <t xml:space="preserve">za studena zpracovatelná asfaltová penetrační emulze na beton             </t>
    </r>
  </si>
  <si>
    <r>
      <rPr>
        <b/>
        <sz val="9"/>
        <color indexed="8"/>
        <rFont val="Arial"/>
        <family val="2"/>
        <charset val="238"/>
      </rPr>
      <t>výměra</t>
    </r>
    <r>
      <rPr>
        <sz val="9"/>
        <color indexed="8"/>
        <rFont val="Arial"/>
        <family val="2"/>
        <charset val="238"/>
      </rPr>
      <t>:(31,75m2+vytažení na atiku(13,5m+3,4)*0,85m )</t>
    </r>
  </si>
  <si>
    <t xml:space="preserve"> - železobetonová deska, tl. 220 mm                                                       </t>
  </si>
  <si>
    <t>viz skladba ST1</t>
  </si>
  <si>
    <r>
      <t xml:space="preserve"> - </t>
    </r>
    <r>
      <rPr>
        <b/>
        <sz val="9"/>
        <color indexed="8"/>
        <rFont val="Arial"/>
        <family val="2"/>
        <charset val="238"/>
      </rPr>
      <t>silikátová akustická omítka</t>
    </r>
    <r>
      <rPr>
        <sz val="9"/>
        <color indexed="8"/>
        <rFont val="Arial"/>
        <family val="2"/>
        <charset val="238"/>
      </rPr>
      <t xml:space="preserve"> bílá αw = 0,45, tl. 15 mm   
</t>
    </r>
    <r>
      <rPr>
        <b/>
        <sz val="9"/>
        <color indexed="8"/>
        <rFont val="Arial"/>
        <family val="2"/>
        <charset val="238"/>
      </rPr>
      <t xml:space="preserve">výměra : viz obsaženo ve skladbě ST1                   </t>
    </r>
    <r>
      <rPr>
        <sz val="9"/>
        <color indexed="8"/>
        <rFont val="Arial"/>
        <family val="2"/>
        <charset val="238"/>
      </rPr>
      <t xml:space="preserve">                                       </t>
    </r>
  </si>
  <si>
    <t xml:space="preserve"> - malba bílá</t>
  </si>
  <si>
    <t>ST3 -střešní konstrukce - věž</t>
  </si>
  <si>
    <r>
      <t xml:space="preserve"> - </t>
    </r>
    <r>
      <rPr>
        <b/>
        <sz val="9"/>
        <color indexed="8"/>
        <rFont val="Arial"/>
        <family val="2"/>
        <charset val="238"/>
      </rPr>
      <t>kačírek  frakce 1</t>
    </r>
    <r>
      <rPr>
        <sz val="9"/>
        <color indexed="8"/>
        <rFont val="Arial"/>
        <family val="2"/>
        <charset val="238"/>
      </rPr>
      <t xml:space="preserve">6/32 mm, tl. 70 mm  ; </t>
    </r>
    <r>
      <rPr>
        <b/>
        <sz val="9"/>
        <color indexed="8"/>
        <rFont val="Arial"/>
        <family val="2"/>
        <charset val="238"/>
      </rPr>
      <t xml:space="preserve"> výměra</t>
    </r>
    <r>
      <rPr>
        <sz val="9"/>
        <color indexed="8"/>
        <rFont val="Arial"/>
        <family val="2"/>
        <charset val="238"/>
      </rPr>
      <t xml:space="preserve">: 2,38m*2,38m                                                                </t>
    </r>
  </si>
  <si>
    <r>
      <t xml:space="preserve"> -</t>
    </r>
    <r>
      <rPr>
        <b/>
        <sz val="9"/>
        <color indexed="17"/>
        <rFont val="Arial"/>
        <family val="2"/>
        <charset val="238"/>
      </rPr>
      <t>hydroizolace - PVC-P fóli</t>
    </r>
    <r>
      <rPr>
        <sz val="9"/>
        <color indexed="17"/>
        <rFont val="Arial"/>
        <family val="2"/>
        <charset val="238"/>
      </rPr>
      <t>e se zabudovaným skleněným rounem celoplošně přitížená, odolná proti prorůstání kořínků, tl. 2 mm</t>
    </r>
  </si>
  <si>
    <r>
      <rPr>
        <b/>
        <sz val="8"/>
        <color indexed="8"/>
        <rFont val="Arial"/>
        <family val="2"/>
        <charset val="238"/>
      </rPr>
      <t>výměra:</t>
    </r>
    <r>
      <rPr>
        <sz val="8"/>
        <color indexed="8"/>
        <rFont val="Arial"/>
        <family val="2"/>
        <charset val="238"/>
      </rPr>
      <t xml:space="preserve"> 2,38m*2,38m+svislá část(2,38*4)*0,15+2,38*4*0,80 + vytažení na světlík (0,72+0,92)*2*0,30 ; ∑ 15,6924m2*1,15prořez</t>
    </r>
  </si>
  <si>
    <r>
      <t xml:space="preserve"> - </t>
    </r>
    <r>
      <rPr>
        <sz val="8"/>
        <color indexed="17"/>
        <rFont val="Arial"/>
        <family val="2"/>
        <charset val="238"/>
      </rPr>
      <t xml:space="preserve">dtto, avšak </t>
    </r>
    <r>
      <rPr>
        <b/>
        <sz val="9"/>
        <color indexed="17"/>
        <rFont val="Arial"/>
        <family val="2"/>
        <charset val="238"/>
      </rPr>
      <t>montáž ; výměra ∑ 15,69m2</t>
    </r>
  </si>
  <si>
    <r>
      <t xml:space="preserve"> - </t>
    </r>
    <r>
      <rPr>
        <b/>
        <sz val="9"/>
        <color indexed="30"/>
        <rFont val="Arial"/>
        <family val="2"/>
        <charset val="238"/>
      </rPr>
      <t>separační vrstva</t>
    </r>
    <r>
      <rPr>
        <sz val="9"/>
        <color indexed="30"/>
        <rFont val="Arial"/>
        <family val="2"/>
        <charset val="238"/>
      </rPr>
      <t xml:space="preserve"> - skleněné rouno, tl. 2mm ; výměra ∑ 15,69m2+1,15prořez</t>
    </r>
  </si>
  <si>
    <r>
      <t xml:space="preserve"> - </t>
    </r>
    <r>
      <rPr>
        <sz val="8"/>
        <color indexed="30"/>
        <rFont val="Arial"/>
        <family val="2"/>
        <charset val="238"/>
      </rPr>
      <t xml:space="preserve">dtto, avšak </t>
    </r>
    <r>
      <rPr>
        <b/>
        <sz val="9"/>
        <color indexed="30"/>
        <rFont val="Arial"/>
        <family val="2"/>
        <charset val="238"/>
      </rPr>
      <t>montáž - výměra ∑ 15,69m2</t>
    </r>
  </si>
  <si>
    <r>
      <t xml:space="preserve"> -</t>
    </r>
    <r>
      <rPr>
        <b/>
        <sz val="9"/>
        <color indexed="8"/>
        <rFont val="Arial"/>
        <family val="2"/>
        <charset val="238"/>
      </rPr>
      <t xml:space="preserve"> tepelná izolace EPS 200 </t>
    </r>
    <r>
      <rPr>
        <sz val="9"/>
        <color indexed="8"/>
        <rFont val="Arial"/>
        <family val="2"/>
        <charset val="238"/>
      </rPr>
      <t xml:space="preserve">S </t>
    </r>
    <r>
      <rPr>
        <sz val="8"/>
        <color indexed="8"/>
        <rFont val="Arial"/>
        <family val="2"/>
        <charset val="238"/>
      </rPr>
      <t>(lamd.=0,037 w/mk) 200 mm</t>
    </r>
    <r>
      <rPr>
        <sz val="9"/>
        <color indexed="8"/>
        <rFont val="Arial"/>
        <family val="2"/>
        <charset val="238"/>
      </rPr>
      <t xml:space="preserve">  + spádové klíny se sklonem 2%, celková tl. tepelné izolace 220-360 mm; výměra :5,66m2*1,15</t>
    </r>
  </si>
  <si>
    <r>
      <t xml:space="preserve"> - </t>
    </r>
    <r>
      <rPr>
        <sz val="8"/>
        <rFont val="Arial"/>
        <family val="2"/>
        <charset val="238"/>
      </rPr>
      <t xml:space="preserve">dtto, avšak </t>
    </r>
    <r>
      <rPr>
        <b/>
        <sz val="9"/>
        <rFont val="Arial"/>
        <family val="2"/>
        <charset val="238"/>
      </rPr>
      <t>montáž - výměra ∑ 5,66m2</t>
    </r>
  </si>
  <si>
    <t>výměra: 2,38m*2,38m+svislá část(2,38*4)*0,15+2,38*4*1,00 + vytažení na světlík (0,72+0,92)*2*0,50; výměra ∑ 18,25m2*1,15</t>
  </si>
  <si>
    <r>
      <t xml:space="preserve"> - </t>
    </r>
    <r>
      <rPr>
        <sz val="8"/>
        <color indexed="17"/>
        <rFont val="Arial"/>
        <family val="2"/>
        <charset val="238"/>
      </rPr>
      <t xml:space="preserve">dtto, avšak </t>
    </r>
    <r>
      <rPr>
        <b/>
        <sz val="9"/>
        <color indexed="17"/>
        <rFont val="Arial"/>
        <family val="2"/>
        <charset val="238"/>
      </rPr>
      <t xml:space="preserve">montáž - vodorovná </t>
    </r>
    <r>
      <rPr>
        <sz val="9"/>
        <color indexed="17"/>
        <rFont val="Arial"/>
        <family val="2"/>
        <charset val="238"/>
      </rPr>
      <t>;</t>
    </r>
    <r>
      <rPr>
        <b/>
        <sz val="9"/>
        <color indexed="17"/>
        <rFont val="Arial"/>
        <family val="2"/>
        <charset val="238"/>
      </rPr>
      <t xml:space="preserve"> výměra : 2,38*2,38</t>
    </r>
  </si>
  <si>
    <r>
      <t xml:space="preserve"> - </t>
    </r>
    <r>
      <rPr>
        <sz val="8"/>
        <color indexed="17"/>
        <rFont val="Arial"/>
        <family val="2"/>
        <charset val="238"/>
      </rPr>
      <t xml:space="preserve">dtto, avšak </t>
    </r>
    <r>
      <rPr>
        <b/>
        <sz val="9"/>
        <color indexed="17"/>
        <rFont val="Arial"/>
        <family val="2"/>
        <charset val="238"/>
      </rPr>
      <t xml:space="preserve">montáž - </t>
    </r>
    <r>
      <rPr>
        <b/>
        <sz val="9"/>
        <color indexed="17"/>
        <rFont val="Arial"/>
        <family val="2"/>
        <charset val="238"/>
      </rPr>
      <t>svislá</t>
    </r>
    <r>
      <rPr>
        <sz val="9"/>
        <color indexed="17"/>
        <rFont val="Arial"/>
        <family val="2"/>
        <charset val="238"/>
      </rPr>
      <t xml:space="preserve"> ; výměra ∑ 12,60m2</t>
    </r>
  </si>
  <si>
    <t xml:space="preserve"> - separační vrstva - geotextilie 300 g/m2, tl.  2 mm                                                </t>
  </si>
  <si>
    <t xml:space="preserve"> - železobetonová deska, tl. 200 mm (resp. 150 mm)                                                                               </t>
  </si>
  <si>
    <t xml:space="preserve"> - vápenocementová omítka, tl.  15 mm                                                                         </t>
  </si>
  <si>
    <r>
      <t xml:space="preserve"> - </t>
    </r>
    <r>
      <rPr>
        <b/>
        <sz val="9"/>
        <color indexed="8"/>
        <rFont val="Arial"/>
        <family val="2"/>
        <charset val="238"/>
      </rPr>
      <t>Klíny z  EPS 200 S, vel. cca 100x100mm,</t>
    </r>
    <r>
      <rPr>
        <sz val="9"/>
        <color indexed="8"/>
        <rFont val="Arial"/>
        <family val="2"/>
        <charset val="238"/>
      </rPr>
      <t xml:space="preserve">  pro přechod hydroizolace ze svislé na vodorovnou plochu ;  </t>
    </r>
    <r>
      <rPr>
        <b/>
        <sz val="9"/>
        <color indexed="8"/>
        <rFont val="Arial"/>
        <family val="2"/>
        <charset val="238"/>
      </rPr>
      <t>výměra :</t>
    </r>
    <r>
      <rPr>
        <sz val="9"/>
        <color indexed="8"/>
        <rFont val="Arial"/>
        <family val="2"/>
        <charset val="238"/>
      </rPr>
      <t xml:space="preserve"> na věži: 2,38*4*2</t>
    </r>
  </si>
  <si>
    <r>
      <rPr>
        <b/>
        <sz val="9"/>
        <color indexed="8"/>
        <rFont val="Arial"/>
        <family val="2"/>
        <charset val="238"/>
      </rPr>
      <t xml:space="preserve"> - Střešní vpust vodorovná vyhřívaná ∅ 75 mm,</t>
    </r>
    <r>
      <rPr>
        <sz val="9"/>
        <color indexed="8"/>
        <rFont val="Arial"/>
        <family val="2"/>
        <charset val="238"/>
      </rPr>
      <t xml:space="preserve"> PVC manžeta,  včetně vodotěsných prostupů konstrukcemi, včetně kotvení, kompletní provedení</t>
    </r>
  </si>
  <si>
    <t xml:space="preserve"> - Ochraná šachta pro střešní vpust 400 x 400 mm, nerezová, včetně kotvení, prodloužená výška dle střešního souvrství,  kompletní provedení</t>
  </si>
  <si>
    <r>
      <rPr>
        <b/>
        <sz val="9"/>
        <color indexed="8"/>
        <rFont val="Arial"/>
        <family val="2"/>
        <charset val="238"/>
      </rPr>
      <t xml:space="preserve"> - Odtok trubkou ze střešní vpusti hranatý 100/100mm,</t>
    </r>
    <r>
      <rPr>
        <sz val="9"/>
        <color indexed="8"/>
        <rFont val="Arial"/>
        <family val="2"/>
        <charset val="238"/>
      </rPr>
      <t xml:space="preserve"> dl. cca 0,60mm, včetně napojení na svislý svod, včetně vodotěsných prostupů konstrukcemi, vodotěsná manžeta -s integrovaným límcem z fólie z měkčeného PVC pro napojení, včetně kotvení, kompletní provedení</t>
    </r>
  </si>
  <si>
    <t xml:space="preserve">Statická-konstrukční část  </t>
  </si>
  <si>
    <t xml:space="preserve"> - 4) Před objednáním a zabudováním konstrukcí, budou všechny výrobky vč. betonu pohledového vyvzorkovány a odsouhlaseny architektem a investorem.</t>
  </si>
  <si>
    <t>Základy + Stropní desky + Stěny + Schodiště</t>
  </si>
  <si>
    <t>Statika -stropy</t>
  </si>
  <si>
    <t>Statika - stěny+věž</t>
  </si>
  <si>
    <t>Statika -sloupy</t>
  </si>
  <si>
    <t>Schodiště betonové točité - pohledový beton hladký, stupnice a podstupnice jsou navrženy tloušťky 100 mm a budou tvořit lomenici ukotvenou  v několika bodech ke sloupu i stěnám. Způsob provedení  a kotvení schodiště bude vyprojektováno až  v rámci dílenské dokumentace s vybraným dodavatelem stavby, povrch stupnic a podstupnic musí být absolutně rovný pro nanesení finální pochozí podlahové vrstvy - cementovou stěrku</t>
  </si>
  <si>
    <r>
      <t xml:space="preserve">od úrovně  -3,070 až </t>
    </r>
    <r>
      <rPr>
        <sz val="10"/>
        <color indexed="8"/>
        <rFont val="Calibri"/>
        <family val="2"/>
        <charset val="238"/>
      </rPr>
      <t>±0,00, výměra: cca  stupnice 4,20m2*0,10+podstutpnice (1,075+1,065+1,335+1,180+1,01+1,005+1,155+1,365+1,075+1,00+1,055+1,305+1,195+1,020+1,01+1,140)*0,192*0,1</t>
    </r>
  </si>
  <si>
    <r>
      <t xml:space="preserve">výměra: od úrovně </t>
    </r>
    <r>
      <rPr>
        <sz val="10"/>
        <color indexed="8"/>
        <rFont val="Calibri"/>
        <family val="2"/>
        <charset val="238"/>
      </rPr>
      <t>±0,00 až +2,800, výměra: cca stupnice 4,20m2*0,10+podesta 1,20m2*0,20+ podstupnice (1,065+1,335+1,180+1,01+1,005+1,155+1,365+1,075+1,00+1,055+1,305+1,195+1,020+1,01+1,140)*0,192*0,1</t>
    </r>
  </si>
  <si>
    <r>
      <t>výměra: od úrovně +2,800</t>
    </r>
    <r>
      <rPr>
        <sz val="10"/>
        <color indexed="8"/>
        <rFont val="Calibri"/>
        <family val="2"/>
        <charset val="238"/>
      </rPr>
      <t xml:space="preserve"> až +5,980, výměra: cca stupnice 4,40m2*0,10+podesta 1,4m2*0,20+ podstupnice (1,335+1,180+1,01+1,005+1,155+1,365+1,075+1,00+1,055+1,305+1,195+1,020+1,01)*0,192*0,1</t>
    </r>
  </si>
  <si>
    <r>
      <t xml:space="preserve">výměra: od úrovně </t>
    </r>
    <r>
      <rPr>
        <sz val="10"/>
        <color indexed="8"/>
        <rFont val="Calibri"/>
        <family val="2"/>
        <charset val="238"/>
      </rPr>
      <t>5,980 až -------, výměra: cca stupnice 3,70m2*0,10+podesta1,00m2 *0,20 + podstupnice (1,070+1,335+1,180+1,01+1,005+1,155+1,365+1,075+1,00+1,055+1,305+1,195+1,020+1,01+1,140+1,400)*0,192*0,1</t>
    </r>
  </si>
  <si>
    <r>
      <t>výměra: od úrovně -------</t>
    </r>
    <r>
      <rPr>
        <sz val="10"/>
        <color indexed="8"/>
        <rFont val="Calibri"/>
        <family val="2"/>
        <charset val="238"/>
      </rPr>
      <t xml:space="preserve"> až +10,700, výměra: cca stupnice 3,70m2*0,10+ podesta 2,00m2*0,20+ podstupnice (1,090+1,00+1,065+1,335+1,180+1,01+1,005+1,155+1,365+1,075+1,00+1,055+1,305)*0,192*0,1</t>
    </r>
  </si>
  <si>
    <r>
      <t xml:space="preserve"> - </t>
    </r>
    <r>
      <rPr>
        <b/>
        <sz val="10"/>
        <color indexed="8"/>
        <rFont val="Arial"/>
        <family val="2"/>
        <charset val="238"/>
      </rPr>
      <t xml:space="preserve">Zřízení bednění </t>
    </r>
    <r>
      <rPr>
        <sz val="10"/>
        <color indexed="8"/>
        <rFont val="Arial"/>
        <family val="2"/>
        <charset val="238"/>
      </rPr>
      <t xml:space="preserve"> schodišťových konstrukcí  v do 4 m</t>
    </r>
  </si>
  <si>
    <r>
      <t xml:space="preserve"> od úrovně  -3,070 až </t>
    </r>
    <r>
      <rPr>
        <sz val="10"/>
        <color indexed="8"/>
        <rFont val="Calibri"/>
        <family val="2"/>
        <charset val="238"/>
      </rPr>
      <t>±0,00, výměra: cca (stupnice 4,20m2+podstutpnice (1,075+1,065+1,335+1,180+1,01+1,005+1,155+1,365+1,075+1,00+1,055+1,305+1,195+1,020+1,01+1,140)*0,192)*2</t>
    </r>
  </si>
  <si>
    <r>
      <t xml:space="preserve">od úrovně </t>
    </r>
    <r>
      <rPr>
        <sz val="10"/>
        <color indexed="8"/>
        <rFont val="Calibri"/>
        <family val="2"/>
        <charset val="238"/>
      </rPr>
      <t>±0,00 až +2,800, výměra: cca (stupnice 4,20m2+podesta 1,20m2+ podstupnice (1,065+1,335+1,180+1,01+1,005+1,155+1,365+1,075+1,00+1,055+1,305+1,195+1,020+1,01+1,140)*0,192)*2</t>
    </r>
  </si>
  <si>
    <r>
      <t xml:space="preserve"> od úrovně +2,800</t>
    </r>
    <r>
      <rPr>
        <sz val="10"/>
        <color indexed="8"/>
        <rFont val="Calibri"/>
        <family val="2"/>
        <charset val="238"/>
      </rPr>
      <t xml:space="preserve"> až +5,980, výměra: cca (stupnice 4,40m2+podesta 1,4m2+ podstupnice (1,335+1,180+1,01+1,005+1,155+1,365+1,075+1,00+1,055+1,305+1,195+1,020+1,01)*0,192)*2</t>
    </r>
  </si>
  <si>
    <r>
      <t xml:space="preserve">od úrovně </t>
    </r>
    <r>
      <rPr>
        <sz val="10"/>
        <color indexed="8"/>
        <rFont val="Calibri"/>
        <family val="2"/>
        <charset val="238"/>
      </rPr>
      <t>5,980 až -------, výměra: cca (stupnice 3,70m2+podesta1,00m2 + podstupnice (1,070+1,335+1,180+1,01+1,005+1,155+1,365+1,075+1,00+1,055+1,305+1,195+1,020+1,01+1,140+1,400)*0,192)*2</t>
    </r>
  </si>
  <si>
    <r>
      <t>od úrovně -------</t>
    </r>
    <r>
      <rPr>
        <sz val="10"/>
        <color indexed="8"/>
        <rFont val="Calibri"/>
        <family val="2"/>
        <charset val="238"/>
      </rPr>
      <t xml:space="preserve"> až +10,700 , výměra: cca (stupnice 3,70m2+ podesta 2,00m2+ podstupnice (1,090+1,00+1,065+1,335+1,180+1,01+1,005+1,155+1,365+1,075+1,00+1,055+1,305)*0,192)*2</t>
    </r>
  </si>
  <si>
    <r>
      <t xml:space="preserve"> - </t>
    </r>
    <r>
      <rPr>
        <b/>
        <sz val="10"/>
        <color indexed="8"/>
        <rFont val="Arial"/>
        <family val="2"/>
        <charset val="238"/>
      </rPr>
      <t>Dtto, avšak odstranění</t>
    </r>
  </si>
  <si>
    <r>
      <rPr>
        <b/>
        <sz val="10"/>
        <color indexed="10"/>
        <rFont val="Arial"/>
        <family val="2"/>
        <charset val="238"/>
      </rPr>
      <t xml:space="preserve"> - Příplatek </t>
    </r>
    <r>
      <rPr>
        <sz val="10"/>
        <color indexed="10"/>
        <rFont val="Arial"/>
        <family val="2"/>
        <charset val="238"/>
      </rPr>
      <t xml:space="preserve">k cenám bednění stěn za </t>
    </r>
    <r>
      <rPr>
        <b/>
        <sz val="10"/>
        <color indexed="10"/>
        <rFont val="Arial"/>
        <family val="2"/>
        <charset val="238"/>
      </rPr>
      <t>pohledový beton hladký  (matrice polyuretanová) viz  poznámka č.3 Úvodu</t>
    </r>
    <r>
      <rPr>
        <sz val="10"/>
        <color indexed="10"/>
        <rFont val="Arial"/>
        <family val="2"/>
        <charset val="238"/>
      </rPr>
      <t xml:space="preserve"> a dále</t>
    </r>
    <r>
      <rPr>
        <b/>
        <sz val="10"/>
        <color indexed="10"/>
        <rFont val="Arial"/>
        <family val="2"/>
        <charset val="238"/>
      </rPr>
      <t xml:space="preserve"> . Podrobnosti </t>
    </r>
    <r>
      <rPr>
        <sz val="10"/>
        <color indexed="10"/>
        <rFont val="Arial"/>
        <family val="2"/>
        <charset val="238"/>
      </rPr>
      <t xml:space="preserve">viz </t>
    </r>
    <r>
      <rPr>
        <b/>
        <sz val="10"/>
        <color indexed="10"/>
        <rFont val="Arial"/>
        <family val="2"/>
        <charset val="238"/>
      </rPr>
      <t>T</t>
    </r>
    <r>
      <rPr>
        <sz val="10"/>
        <color indexed="10"/>
        <rFont val="Arial"/>
        <family val="2"/>
        <charset val="238"/>
      </rPr>
      <t xml:space="preserve">echnická </t>
    </r>
    <r>
      <rPr>
        <b/>
        <sz val="10"/>
        <color indexed="10"/>
        <rFont val="Arial"/>
        <family val="2"/>
        <charset val="238"/>
      </rPr>
      <t>z</t>
    </r>
    <r>
      <rPr>
        <sz val="10"/>
        <color indexed="10"/>
        <rFont val="Arial"/>
        <family val="2"/>
        <charset val="238"/>
      </rPr>
      <t>práva strana 6a 9. (podhledová plocha vnitřní - ve věži)</t>
    </r>
  </si>
  <si>
    <r>
      <t xml:space="preserve"> - </t>
    </r>
    <r>
      <rPr>
        <b/>
        <sz val="10"/>
        <rFont val="Arial"/>
        <family val="2"/>
        <charset val="238"/>
      </rPr>
      <t>Příplatek ke zřízení</t>
    </r>
    <r>
      <rPr>
        <sz val="10"/>
        <rFont val="Arial"/>
        <family val="2"/>
        <charset val="238"/>
      </rPr>
      <t xml:space="preserve"> bednění schodišťových konstrukci přes 4 do 6 m</t>
    </r>
  </si>
  <si>
    <r>
      <t xml:space="preserve">Výztuž  </t>
    </r>
    <r>
      <rPr>
        <sz val="10"/>
        <color indexed="8"/>
        <rFont val="Arial"/>
        <family val="2"/>
        <charset val="238"/>
      </rPr>
      <t>schodišťových konstrukcí (200kg/m3)</t>
    </r>
  </si>
  <si>
    <r>
      <t xml:space="preserve"> - Cementová stěrka n</t>
    </r>
    <r>
      <rPr>
        <sz val="10"/>
        <color indexed="8"/>
        <rFont val="Arial"/>
        <family val="2"/>
        <charset val="238"/>
      </rPr>
      <t>a schodišti, kompletní provedení,</t>
    </r>
  </si>
  <si>
    <r>
      <t xml:space="preserve"> od úrovně  -3,070 až </t>
    </r>
    <r>
      <rPr>
        <sz val="10"/>
        <color indexed="8"/>
        <rFont val="Calibri"/>
        <family val="2"/>
        <charset val="238"/>
      </rPr>
      <t>±0,00, výměra: cca (stupnice 4,20m2+podstutpnice (1,075+1,065+1,335+1,180+1,01+1,005+1,155+1,365+1,075+1,00+1,055+1,305+1,195+1,020+1,01+1,140)*0,192)+podesta 1,20m2</t>
    </r>
  </si>
  <si>
    <r>
      <t xml:space="preserve">od úrovně </t>
    </r>
    <r>
      <rPr>
        <sz val="10"/>
        <color indexed="8"/>
        <rFont val="Calibri"/>
        <family val="2"/>
        <charset val="238"/>
      </rPr>
      <t>±0,00 až +2,800, výměra: cca (stupnice 4,20m2+podesta 1,20m2+ podstupnice (1,065+1,335+1,180+1,01+1,005+1,155+1,365+1,075+1,00+1,055+1,305+1,195+1,020+1,01+1,140)*0,192)</t>
    </r>
  </si>
  <si>
    <r>
      <t xml:space="preserve"> od úrovně +2,800</t>
    </r>
    <r>
      <rPr>
        <sz val="10"/>
        <color indexed="8"/>
        <rFont val="Calibri"/>
        <family val="2"/>
        <charset val="238"/>
      </rPr>
      <t xml:space="preserve"> až +5,980, výměra: cca (stupnice 4,40m2+podesta 1,4m2+ podstupnice (1,335+1,180+1,01+1,005+1,155+1,365+1,075+1,00+1,055+1,305+1,195+1,020+1,01)*0,192)</t>
    </r>
  </si>
  <si>
    <r>
      <t xml:space="preserve">od úrovně </t>
    </r>
    <r>
      <rPr>
        <sz val="10"/>
        <color indexed="8"/>
        <rFont val="Calibri"/>
        <family val="2"/>
        <charset val="238"/>
      </rPr>
      <t>5,980 až -------, výměra: cca (stupnice 3,70m2+podesta1,00m2 + podstupnice (1,070+1,335+1,180+1,01+1,005+1,155+1,365+1,075+1,00+1,055+1,305+1,195+1,020+1,01+1,140+1,400)*0,192)</t>
    </r>
  </si>
  <si>
    <r>
      <t>od úrovně -------</t>
    </r>
    <r>
      <rPr>
        <sz val="10"/>
        <color indexed="8"/>
        <rFont val="Calibri"/>
        <family val="2"/>
        <charset val="238"/>
      </rPr>
      <t xml:space="preserve"> až +10,700 , výměra: cca (stupnice 3,70m2+ podesta 2,00m2+ podstupnice (1,090+1,00+1,065+1,335+1,180+1,01+1,005+1,155+1,365+1,075+1,00+1,055+1,305)*0,192)</t>
    </r>
  </si>
  <si>
    <t xml:space="preserve"> - Vylamovací lišty dl. 800mm </t>
  </si>
  <si>
    <t>výměra: cca  ZD - 35,65bm, D1 - 32,90bm, D2 - 18,30bm, D3 - 32,70bm, stěny 1.PP - 34,70bm, stěny 1.NP - ST2, ST3 - 34,70bm, 2.NP -13,80bm, věž - 10,80bm*2ks</t>
  </si>
  <si>
    <t>1x prostup pro NN</t>
  </si>
  <si>
    <t>1x prostup pro vodovod</t>
  </si>
  <si>
    <t xml:space="preserve">5x prostup pro kanalizaci </t>
  </si>
  <si>
    <t>1x prostup pro nasávací objekt prům. 620mm</t>
  </si>
  <si>
    <t>2x odtok trubkou ze střešní vpusti ∅ 110 mm</t>
  </si>
  <si>
    <t>2x přepad pojistný hranatý 50/100mm</t>
  </si>
  <si>
    <t>1x odtok trubkou ze střešní vpusti ∅75 mm</t>
  </si>
  <si>
    <t>1x výdech VZT cca vel. 1060x300mm</t>
  </si>
  <si>
    <t xml:space="preserve">1x prostup pro kanalizaci </t>
  </si>
  <si>
    <t>7x prostup pro NN</t>
  </si>
  <si>
    <t>Prostupy trubkovodů v žlb. konstrukci, včetně kotvení, v rámci realizační dokumentace stavby je nutné podrobně rozkreslit vedení kabelových rozvodů do výkresu tvaru a armovacích výkresů železobetonové konstrukce. Pozdější viditelné vedení kabelových rozvodů v podlažích 1.NP, 2. NP, 3.NP a 4.NP je nepřípustné.</t>
  </si>
  <si>
    <t>Trubka do betonu Js 50mm</t>
  </si>
  <si>
    <t>Trubka do betonu Js 29mm</t>
  </si>
  <si>
    <t>Trubka do betonu Js 239mm</t>
  </si>
  <si>
    <t>Požárně bezpečnostní řešení</t>
  </si>
  <si>
    <t xml:space="preserve">Přenosné hasicí přístroje práškové s hasicí schopností nejméně 21A </t>
  </si>
  <si>
    <t>Bezpečnostní značka nad přenosnými hasicími přístroji označující jejich umístění</t>
  </si>
  <si>
    <r>
      <t xml:space="preserve">Nad únikovými dveřmi bude umístěna </t>
    </r>
    <r>
      <rPr>
        <b/>
        <sz val="10"/>
        <color indexed="8"/>
        <rFont val="Calibri"/>
        <family val="2"/>
        <charset val="238"/>
      </rPr>
      <t>bezpečnostní značka</t>
    </r>
    <r>
      <rPr>
        <sz val="10"/>
        <color indexed="8"/>
        <rFont val="Calibri"/>
        <family val="2"/>
        <charset val="238"/>
      </rPr>
      <t xml:space="preserve"> označující únikový východ a na chodbách budou umístěny bezpečnostní značky označující směr úniku. Bezpečnostní značky pro označení únikových cest a nouzového východu musí být umístěny tak, aby z každého místa byla viditelná nejméně jedna bezpečnostní značka.</t>
    </r>
  </si>
  <si>
    <t>Bude označen bezpečnostní značkou hlavní vypínač elektro, hlavní uzávěr vody a tlačítko TOTAL STOP.</t>
  </si>
  <si>
    <t>Revize elektro a požární</t>
  </si>
  <si>
    <r>
      <rPr>
        <b/>
        <sz val="10"/>
        <color indexed="8"/>
        <rFont val="Calibri"/>
        <family val="2"/>
        <charset val="238"/>
      </rPr>
      <t xml:space="preserve">Rohové lišty </t>
    </r>
    <r>
      <rPr>
        <sz val="10"/>
        <color indexed="8"/>
        <rFont val="Calibri"/>
        <family val="2"/>
        <charset val="238"/>
      </rPr>
      <t>kovové</t>
    </r>
    <r>
      <rPr>
        <b/>
        <sz val="10"/>
        <color indexed="8"/>
        <rFont val="Calibri"/>
        <family val="2"/>
        <charset val="238"/>
      </rPr>
      <t xml:space="preserve"> </t>
    </r>
    <r>
      <rPr>
        <sz val="10"/>
        <color indexed="8"/>
        <rFont val="Calibri"/>
        <family val="2"/>
        <charset val="238"/>
      </rPr>
      <t>pod omítku včetně kotvení, výměra: cca 15,20+13,96+15,25+8,1</t>
    </r>
  </si>
  <si>
    <t>mb</t>
  </si>
  <si>
    <r>
      <rPr>
        <b/>
        <sz val="10"/>
        <color indexed="8"/>
        <rFont val="Calibri"/>
        <family val="2"/>
        <charset val="238"/>
      </rPr>
      <t>Gumové rýhované podložky</t>
    </r>
    <r>
      <rPr>
        <sz val="10"/>
        <color indexed="8"/>
        <rFont val="Calibri"/>
        <family val="2"/>
        <charset val="238"/>
      </rPr>
      <t xml:space="preserve"> pod VZT jednotky, kompletní provedení</t>
    </r>
  </si>
  <si>
    <t>Bude použita třída pohledového betonu PBS pro architektonicky exponované plochy (technická pravidla pro pohledové betony ČBS 03 z roku 2018)- samozhutnitelný a kamenivo max 16mm, jednotný odstín, bez kaveren, pórovitosti, kompaktní povrch. Důraz kladen na rovinnost konstrukce a připravenost konstrukce vzhledem k obkladu z cortenového plechu, dodržení svislosti konstrukce.</t>
  </si>
  <si>
    <t>Dodavatel navrhne vhodnou recepturu betonu v součinnosti s technologickým oddělením betonárny. Před započetím prací budou vyrobeny referenční vzorky pohledových betonů, které dodavatel předloží k odsouhlasení architektovi stavby. Bude předložen vzorek pohledového betonu s výrazným otiskem vertikálních prken a pohledový beton hladký. Vzorky budou mít minimální rozměr pohledové plochy 1x1 m, vyvzorkovat i odstín betonu na vzorcích, dva odstíny o rozměrech 1x1m, výměra: (1,0*1,0*0,2*2)*2=0,80m3</t>
  </si>
  <si>
    <t>Stěny schodiště, konstrukce schodiště a vodorovná konstrukce chóru je z pohledového betonu hladkého. Bude použita typová elastická polyuretanová matrice do bednění, pro vytvoření strukturovaného a hladkého pohledového povrchu. Elasticita matric umožňuje bezproblémové odbednění i u komplikovaných a filigránových struktur. Matrice se do bednění lepí zadní stranou a na povrch se před každou betonáži aplikuje odbedňovací olej. Matrice má 100 násobnou obrátkovost. Matrice je hladká bez struktury a její tloušťka je 10mm. Při aplikaci matrice budou dodrženy technologické postupy výrobce.</t>
  </si>
  <si>
    <t xml:space="preserve"> vymazat po kontrole</t>
  </si>
  <si>
    <t>přiřazen do SDK 1.PP</t>
  </si>
  <si>
    <r>
      <rPr>
        <b/>
        <sz val="10"/>
        <color indexed="10"/>
        <rFont val="Calibri"/>
        <family val="2"/>
        <charset val="238"/>
      </rPr>
      <t>SDK konstrukce</t>
    </r>
    <r>
      <rPr>
        <sz val="10"/>
        <color indexed="10"/>
        <rFont val="Calibri"/>
        <family val="2"/>
        <charset val="238"/>
      </rPr>
      <t>, předstěna za závěsné WC a výlevku včetně podkonstrukcí a kotvení, výměra: cca  (0,95+1,135)*2,75+(2,085+0,1)*2,75+(0,9+0,18)*1,50+0,90*0,18</t>
    </r>
  </si>
  <si>
    <r>
      <rPr>
        <b/>
        <sz val="10"/>
        <color indexed="8"/>
        <rFont val="Calibri"/>
        <family val="2"/>
        <charset val="238"/>
      </rPr>
      <t>Revizní dvířka do SDK konstrukce,</t>
    </r>
    <r>
      <rPr>
        <sz val="10"/>
        <color indexed="8"/>
        <rFont val="Calibri"/>
        <family val="2"/>
        <charset val="238"/>
      </rPr>
      <t xml:space="preserve"> včetně pantů, zavírání, kotvení</t>
    </r>
  </si>
  <si>
    <r>
      <rPr>
        <b/>
        <sz val="10"/>
        <color indexed="8"/>
        <rFont val="Calibri"/>
        <family val="2"/>
        <charset val="238"/>
      </rPr>
      <t>Cementová stěrka</t>
    </r>
    <r>
      <rPr>
        <sz val="10"/>
        <color indexed="8"/>
        <rFont val="Calibri"/>
        <family val="2"/>
        <charset val="238"/>
      </rPr>
      <t xml:space="preserve"> za výlevkou, kompletní provedení, výměra: cca 0,90*2*1,50+0,90*0,20</t>
    </r>
  </si>
  <si>
    <t>S ch o d i š t ě</t>
  </si>
  <si>
    <t>S k l a d b y   p o d l a h</t>
  </si>
  <si>
    <r>
      <rPr>
        <b/>
        <sz val="10"/>
        <rFont val="Arial"/>
        <family val="2"/>
        <charset val="238"/>
      </rPr>
      <t xml:space="preserve">Podlaha na terénu - 1PP -   </t>
    </r>
    <r>
      <rPr>
        <b/>
        <sz val="9"/>
        <rFont val="Arial"/>
        <family val="2"/>
        <charset val="238"/>
      </rPr>
      <t xml:space="preserve">
viz   v.č. D.1.12.1.03 + řezy A+B+C</t>
    </r>
  </si>
  <si>
    <r>
      <rPr>
        <sz val="7"/>
        <color indexed="10"/>
        <rFont val="Arial"/>
        <family val="2"/>
        <charset val="238"/>
      </rPr>
      <t>Plánovací cena D+M</t>
    </r>
  </si>
  <si>
    <r>
      <rPr>
        <sz val="7"/>
        <color indexed="17"/>
        <rFont val="Arial"/>
        <family val="2"/>
        <charset val="238"/>
      </rPr>
      <t>Plánovací cena D</t>
    </r>
  </si>
  <si>
    <r>
      <rPr>
        <sz val="7"/>
        <color indexed="17"/>
        <rFont val="Arial"/>
        <family val="2"/>
        <charset val="238"/>
      </rPr>
      <t>Plánovací cena M</t>
    </r>
  </si>
  <si>
    <r>
      <rPr>
        <sz val="7"/>
        <color indexed="40"/>
        <rFont val="Arial"/>
        <family val="2"/>
        <charset val="238"/>
      </rPr>
      <t>Plánovací cena D</t>
    </r>
  </si>
  <si>
    <r>
      <rPr>
        <sz val="7"/>
        <color indexed="40"/>
        <rFont val="Arial"/>
        <family val="2"/>
        <charset val="238"/>
      </rPr>
      <t>Plánovací cena M</t>
    </r>
  </si>
  <si>
    <r>
      <t xml:space="preserve"> </t>
    </r>
    <r>
      <rPr>
        <b/>
        <sz val="9"/>
        <rFont val="Arial"/>
        <family val="2"/>
        <charset val="238"/>
      </rPr>
      <t>želbet základ</t>
    </r>
    <r>
      <rPr>
        <sz val="9"/>
        <rFont val="Arial"/>
        <family val="2"/>
        <charset val="238"/>
      </rPr>
      <t xml:space="preserve">ová  </t>
    </r>
    <r>
      <rPr>
        <b/>
        <sz val="9"/>
        <rFont val="Arial"/>
        <family val="2"/>
        <charset val="238"/>
      </rPr>
      <t>deska</t>
    </r>
    <r>
      <rPr>
        <sz val="8"/>
        <rFont val="Arial"/>
        <family val="2"/>
        <charset val="238"/>
      </rPr>
      <t xml:space="preserve"> </t>
    </r>
    <r>
      <rPr>
        <sz val="9"/>
        <rFont val="Arial"/>
        <family val="2"/>
        <charset val="238"/>
      </rPr>
      <t>tl.</t>
    </r>
    <r>
      <rPr>
        <b/>
        <sz val="9"/>
        <rFont val="Arial"/>
        <family val="2"/>
        <charset val="238"/>
      </rPr>
      <t xml:space="preserve"> 250mm</t>
    </r>
    <r>
      <rPr>
        <sz val="9"/>
        <rFont val="Arial"/>
        <family val="2"/>
        <charset val="238"/>
      </rPr>
      <t xml:space="preserve"> viz statika</t>
    </r>
  </si>
  <si>
    <t>P1/1, P1/2</t>
  </si>
  <si>
    <r>
      <t>P1 /</t>
    </r>
    <r>
      <rPr>
        <b/>
        <sz val="7"/>
        <rFont val="Arial"/>
        <family val="2"/>
        <charset val="238"/>
      </rPr>
      <t>1a</t>
    </r>
  </si>
  <si>
    <r>
      <t>P1 /</t>
    </r>
    <r>
      <rPr>
        <b/>
        <sz val="7"/>
        <rFont val="Arial"/>
        <family val="2"/>
        <charset val="238"/>
      </rPr>
      <t>2a</t>
    </r>
  </si>
  <si>
    <r>
      <t>P1 /</t>
    </r>
    <r>
      <rPr>
        <b/>
        <sz val="7"/>
        <color indexed="8"/>
        <rFont val="Arial"/>
        <family val="2"/>
        <charset val="238"/>
      </rPr>
      <t>1</t>
    </r>
  </si>
  <si>
    <r>
      <t>P2 /</t>
    </r>
    <r>
      <rPr>
        <sz val="7"/>
        <color indexed="10"/>
        <rFont val="Arial"/>
        <family val="2"/>
        <charset val="238"/>
      </rPr>
      <t>2a</t>
    </r>
  </si>
  <si>
    <r>
      <t>P1 /</t>
    </r>
    <r>
      <rPr>
        <b/>
        <sz val="7"/>
        <rFont val="Arial"/>
        <family val="2"/>
        <charset val="238"/>
      </rPr>
      <t>3</t>
    </r>
  </si>
  <si>
    <r>
      <t>P1 /</t>
    </r>
    <r>
      <rPr>
        <b/>
        <sz val="7"/>
        <rFont val="Arial"/>
        <family val="2"/>
        <charset val="238"/>
      </rPr>
      <t>4</t>
    </r>
  </si>
  <si>
    <r>
      <t>P1 /</t>
    </r>
    <r>
      <rPr>
        <b/>
        <sz val="7"/>
        <rFont val="Arial"/>
        <family val="2"/>
        <charset val="238"/>
      </rPr>
      <t>5</t>
    </r>
  </si>
  <si>
    <r>
      <t>P1 /</t>
    </r>
    <r>
      <rPr>
        <b/>
        <sz val="7"/>
        <rFont val="Arial"/>
        <family val="2"/>
        <charset val="238"/>
      </rPr>
      <t>6</t>
    </r>
  </si>
  <si>
    <r>
      <t>P1 /</t>
    </r>
    <r>
      <rPr>
        <b/>
        <sz val="7"/>
        <rFont val="Arial"/>
        <family val="2"/>
        <charset val="238"/>
      </rPr>
      <t>7</t>
    </r>
  </si>
  <si>
    <t>P1 /8</t>
  </si>
  <si>
    <t>P1 /9</t>
  </si>
  <si>
    <t>P1 /10</t>
  </si>
  <si>
    <r>
      <t xml:space="preserve">P1 </t>
    </r>
    <r>
      <rPr>
        <b/>
        <sz val="7"/>
        <rFont val="Arial"/>
        <family val="2"/>
        <charset val="238"/>
      </rPr>
      <t xml:space="preserve">/7/ V
</t>
    </r>
    <r>
      <rPr>
        <sz val="7"/>
        <rFont val="Arial"/>
        <family val="2"/>
        <charset val="238"/>
      </rPr>
      <t>dodávka</t>
    </r>
  </si>
  <si>
    <r>
      <t xml:space="preserve">P1 </t>
    </r>
    <r>
      <rPr>
        <b/>
        <sz val="7"/>
        <rFont val="Arial"/>
        <family val="2"/>
        <charset val="238"/>
      </rPr>
      <t xml:space="preserve">/7/ S
</t>
    </r>
    <r>
      <rPr>
        <sz val="7"/>
        <rFont val="Arial"/>
        <family val="2"/>
        <charset val="238"/>
      </rPr>
      <t>dodávka</t>
    </r>
  </si>
  <si>
    <r>
      <t>P1/</t>
    </r>
    <r>
      <rPr>
        <b/>
        <sz val="7"/>
        <rFont val="Arial"/>
        <family val="2"/>
        <charset val="238"/>
      </rPr>
      <t>11</t>
    </r>
  </si>
  <si>
    <r>
      <rPr>
        <sz val="7"/>
        <color indexed="10"/>
        <rFont val="Arial"/>
        <family val="2"/>
        <charset val="238"/>
      </rPr>
      <t>P2</t>
    </r>
    <r>
      <rPr>
        <b/>
        <sz val="7"/>
        <color indexed="10"/>
        <rFont val="Arial"/>
        <family val="2"/>
        <charset val="238"/>
      </rPr>
      <t xml:space="preserve"> /1</t>
    </r>
  </si>
  <si>
    <r>
      <rPr>
        <sz val="7"/>
        <color indexed="10"/>
        <rFont val="Arial"/>
        <family val="2"/>
        <charset val="238"/>
      </rPr>
      <t>P2 /2a</t>
    </r>
  </si>
  <si>
    <r>
      <rPr>
        <sz val="7"/>
        <color indexed="10"/>
        <rFont val="Arial"/>
        <family val="2"/>
        <charset val="238"/>
      </rPr>
      <t>P2</t>
    </r>
    <r>
      <rPr>
        <b/>
        <sz val="7"/>
        <color indexed="10"/>
        <rFont val="Arial"/>
        <family val="2"/>
        <charset val="238"/>
      </rPr>
      <t xml:space="preserve"> /2</t>
    </r>
  </si>
  <si>
    <r>
      <t>P2 /</t>
    </r>
    <r>
      <rPr>
        <b/>
        <sz val="7"/>
        <rFont val="Arial"/>
        <family val="2"/>
        <charset val="238"/>
      </rPr>
      <t>3</t>
    </r>
  </si>
  <si>
    <r>
      <t>P2 /</t>
    </r>
    <r>
      <rPr>
        <b/>
        <sz val="7"/>
        <rFont val="Arial"/>
        <family val="2"/>
        <charset val="238"/>
      </rPr>
      <t>4</t>
    </r>
  </si>
  <si>
    <r>
      <t>P2 /</t>
    </r>
    <r>
      <rPr>
        <b/>
        <sz val="7"/>
        <rFont val="Arial"/>
        <family val="2"/>
        <charset val="238"/>
      </rPr>
      <t>5</t>
    </r>
  </si>
  <si>
    <r>
      <t>P3 /</t>
    </r>
    <r>
      <rPr>
        <b/>
        <sz val="7"/>
        <color indexed="10"/>
        <rFont val="Arial"/>
        <family val="2"/>
        <charset val="238"/>
      </rPr>
      <t>1</t>
    </r>
  </si>
  <si>
    <r>
      <t>P3 /</t>
    </r>
    <r>
      <rPr>
        <b/>
        <sz val="7"/>
        <color indexed="10"/>
        <rFont val="Arial"/>
        <family val="2"/>
        <charset val="238"/>
      </rPr>
      <t>2</t>
    </r>
  </si>
  <si>
    <r>
      <rPr>
        <sz val="7"/>
        <color indexed="10"/>
        <rFont val="Arial"/>
        <family val="2"/>
        <charset val="238"/>
      </rPr>
      <t>P3</t>
    </r>
    <r>
      <rPr>
        <b/>
        <sz val="7"/>
        <color indexed="10"/>
        <rFont val="Arial"/>
        <family val="2"/>
        <charset val="238"/>
      </rPr>
      <t xml:space="preserve"> /1</t>
    </r>
  </si>
  <si>
    <r>
      <t>P4 /</t>
    </r>
    <r>
      <rPr>
        <b/>
        <sz val="7"/>
        <color indexed="10"/>
        <rFont val="Arial"/>
        <family val="2"/>
        <charset val="238"/>
      </rPr>
      <t>1</t>
    </r>
  </si>
  <si>
    <r>
      <t>P4 /</t>
    </r>
    <r>
      <rPr>
        <b/>
        <sz val="7"/>
        <color indexed="10"/>
        <rFont val="Arial"/>
        <family val="2"/>
        <charset val="238"/>
      </rPr>
      <t>1a</t>
    </r>
  </si>
  <si>
    <r>
      <rPr>
        <sz val="7"/>
        <color indexed="10"/>
        <rFont val="Arial"/>
        <family val="2"/>
        <charset val="238"/>
      </rPr>
      <t>P4 /</t>
    </r>
    <r>
      <rPr>
        <b/>
        <sz val="7"/>
        <color indexed="10"/>
        <rFont val="Arial"/>
        <family val="2"/>
        <charset val="238"/>
      </rPr>
      <t>2</t>
    </r>
  </si>
  <si>
    <r>
      <t xml:space="preserve">P4 </t>
    </r>
    <r>
      <rPr>
        <b/>
        <sz val="7"/>
        <color indexed="10"/>
        <rFont val="Arial"/>
        <family val="2"/>
        <charset val="238"/>
      </rPr>
      <t>/3</t>
    </r>
  </si>
  <si>
    <r>
      <rPr>
        <sz val="7"/>
        <color indexed="10"/>
        <rFont val="Arial"/>
        <family val="2"/>
        <charset val="238"/>
      </rPr>
      <t>P4 /</t>
    </r>
    <r>
      <rPr>
        <b/>
        <sz val="7"/>
        <color indexed="10"/>
        <rFont val="Arial"/>
        <family val="2"/>
        <charset val="238"/>
      </rPr>
      <t>4</t>
    </r>
  </si>
  <si>
    <r>
      <t xml:space="preserve">P4 </t>
    </r>
    <r>
      <rPr>
        <b/>
        <sz val="7"/>
        <color indexed="10"/>
        <rFont val="Arial"/>
        <family val="2"/>
        <charset val="238"/>
      </rPr>
      <t>/4a</t>
    </r>
  </si>
  <si>
    <r>
      <t xml:space="preserve">P4 </t>
    </r>
    <r>
      <rPr>
        <b/>
        <sz val="7"/>
        <color indexed="10"/>
        <rFont val="Arial"/>
        <family val="2"/>
        <charset val="238"/>
      </rPr>
      <t>/5</t>
    </r>
  </si>
  <si>
    <r>
      <t xml:space="preserve">P4 </t>
    </r>
    <r>
      <rPr>
        <b/>
        <sz val="7"/>
        <color indexed="10"/>
        <rFont val="Arial"/>
        <family val="2"/>
        <charset val="238"/>
      </rPr>
      <t>/5a</t>
    </r>
  </si>
  <si>
    <r>
      <t xml:space="preserve">P4 </t>
    </r>
    <r>
      <rPr>
        <b/>
        <sz val="7"/>
        <color indexed="10"/>
        <rFont val="Arial"/>
        <family val="2"/>
        <charset val="238"/>
      </rPr>
      <t>/6</t>
    </r>
  </si>
  <si>
    <r>
      <t xml:space="preserve">P4 </t>
    </r>
    <r>
      <rPr>
        <b/>
        <sz val="7"/>
        <color indexed="10"/>
        <rFont val="Arial"/>
        <family val="2"/>
        <charset val="238"/>
      </rPr>
      <t>/6a</t>
    </r>
  </si>
  <si>
    <r>
      <t xml:space="preserve">P4 </t>
    </r>
    <r>
      <rPr>
        <b/>
        <sz val="7"/>
        <color indexed="10"/>
        <rFont val="Arial"/>
        <family val="2"/>
        <charset val="238"/>
      </rPr>
      <t>/6b</t>
    </r>
  </si>
  <si>
    <r>
      <t xml:space="preserve">P4 </t>
    </r>
    <r>
      <rPr>
        <b/>
        <sz val="7"/>
        <color indexed="10"/>
        <rFont val="Arial"/>
        <family val="2"/>
        <charset val="238"/>
      </rPr>
      <t>/6c</t>
    </r>
  </si>
  <si>
    <r>
      <t xml:space="preserve">P4 </t>
    </r>
    <r>
      <rPr>
        <b/>
        <sz val="7"/>
        <color indexed="10"/>
        <rFont val="Arial"/>
        <family val="2"/>
        <charset val="238"/>
      </rPr>
      <t>/7</t>
    </r>
  </si>
  <si>
    <r>
      <t xml:space="preserve">P4 </t>
    </r>
    <r>
      <rPr>
        <b/>
        <sz val="7"/>
        <color indexed="10"/>
        <rFont val="Arial"/>
        <family val="2"/>
        <charset val="238"/>
      </rPr>
      <t>/7a</t>
    </r>
  </si>
  <si>
    <r>
      <t>ST1  /</t>
    </r>
    <r>
      <rPr>
        <b/>
        <sz val="7"/>
        <rFont val="Arial"/>
        <family val="2"/>
        <charset val="238"/>
      </rPr>
      <t>1</t>
    </r>
    <r>
      <rPr>
        <sz val="7"/>
        <rFont val="Arial"/>
        <family val="2"/>
        <charset val="238"/>
      </rPr>
      <t xml:space="preserve"> </t>
    </r>
  </si>
  <si>
    <r>
      <t>ST1  /</t>
    </r>
    <r>
      <rPr>
        <b/>
        <sz val="7"/>
        <rFont val="Arial"/>
        <family val="2"/>
        <charset val="238"/>
      </rPr>
      <t>2</t>
    </r>
    <r>
      <rPr>
        <sz val="10"/>
        <rFont val="Arial"/>
        <family val="2"/>
        <charset val="238"/>
      </rPr>
      <t/>
    </r>
  </si>
  <si>
    <r>
      <t>ST1  /</t>
    </r>
    <r>
      <rPr>
        <b/>
        <sz val="7"/>
        <rFont val="Arial"/>
        <family val="2"/>
        <charset val="238"/>
      </rPr>
      <t>3</t>
    </r>
    <r>
      <rPr>
        <sz val="10"/>
        <rFont val="Arial"/>
        <family val="2"/>
        <charset val="238"/>
      </rPr>
      <t/>
    </r>
  </si>
  <si>
    <r>
      <t>ST1  /</t>
    </r>
    <r>
      <rPr>
        <b/>
        <sz val="7"/>
        <rFont val="Arial"/>
        <family val="2"/>
        <charset val="238"/>
      </rPr>
      <t>4</t>
    </r>
    <r>
      <rPr>
        <sz val="10"/>
        <rFont val="Arial"/>
        <family val="2"/>
        <charset val="238"/>
      </rPr>
      <t/>
    </r>
  </si>
  <si>
    <r>
      <t xml:space="preserve">ST1  </t>
    </r>
    <r>
      <rPr>
        <sz val="7"/>
        <color indexed="30"/>
        <rFont val="Arial"/>
        <family val="2"/>
        <charset val="238"/>
      </rPr>
      <t>/</t>
    </r>
    <r>
      <rPr>
        <b/>
        <sz val="7"/>
        <color indexed="30"/>
        <rFont val="Arial"/>
        <family val="2"/>
        <charset val="238"/>
      </rPr>
      <t>5</t>
    </r>
    <r>
      <rPr>
        <sz val="10"/>
        <rFont val="Arial"/>
        <family val="2"/>
        <charset val="238"/>
      </rPr>
      <t/>
    </r>
  </si>
  <si>
    <r>
      <t>ST1  /</t>
    </r>
    <r>
      <rPr>
        <b/>
        <sz val="7"/>
        <rFont val="Arial"/>
        <family val="2"/>
        <charset val="238"/>
      </rPr>
      <t>6</t>
    </r>
    <r>
      <rPr>
        <sz val="10"/>
        <rFont val="Arial"/>
        <family val="2"/>
        <charset val="238"/>
      </rPr>
      <t/>
    </r>
  </si>
  <si>
    <r>
      <t>ST1  /</t>
    </r>
    <r>
      <rPr>
        <b/>
        <sz val="7"/>
        <rFont val="Arial"/>
        <family val="2"/>
        <charset val="238"/>
      </rPr>
      <t>7</t>
    </r>
    <r>
      <rPr>
        <sz val="10"/>
        <rFont val="Arial"/>
        <family val="2"/>
        <charset val="238"/>
      </rPr>
      <t/>
    </r>
  </si>
  <si>
    <r>
      <t>ST1  /</t>
    </r>
    <r>
      <rPr>
        <b/>
        <sz val="7"/>
        <rFont val="Arial"/>
        <family val="2"/>
        <charset val="238"/>
      </rPr>
      <t>8</t>
    </r>
    <r>
      <rPr>
        <sz val="10"/>
        <rFont val="Arial"/>
        <family val="2"/>
        <charset val="238"/>
      </rPr>
      <t/>
    </r>
  </si>
  <si>
    <r>
      <t>ST1  /</t>
    </r>
    <r>
      <rPr>
        <b/>
        <sz val="7"/>
        <rFont val="Arial"/>
        <family val="2"/>
        <charset val="238"/>
      </rPr>
      <t>10</t>
    </r>
    <r>
      <rPr>
        <sz val="10"/>
        <rFont val="Arial"/>
        <family val="2"/>
        <charset val="238"/>
      </rPr>
      <t/>
    </r>
  </si>
  <si>
    <r>
      <t xml:space="preserve">ST1  </t>
    </r>
    <r>
      <rPr>
        <sz val="7"/>
        <color indexed="10"/>
        <rFont val="Arial"/>
        <family val="2"/>
        <charset val="238"/>
      </rPr>
      <t>/</t>
    </r>
    <r>
      <rPr>
        <b/>
        <sz val="7"/>
        <color indexed="10"/>
        <rFont val="Arial"/>
        <family val="2"/>
        <charset val="238"/>
      </rPr>
      <t>13</t>
    </r>
  </si>
  <si>
    <r>
      <t xml:space="preserve">ST1  </t>
    </r>
    <r>
      <rPr>
        <sz val="7"/>
        <color indexed="10"/>
        <rFont val="Arial"/>
        <family val="2"/>
        <charset val="238"/>
      </rPr>
      <t>/</t>
    </r>
    <r>
      <rPr>
        <b/>
        <sz val="7"/>
        <color indexed="10"/>
        <rFont val="Arial"/>
        <family val="2"/>
        <charset val="238"/>
      </rPr>
      <t>13</t>
    </r>
    <r>
      <rPr>
        <sz val="10"/>
        <rFont val="Arial"/>
        <family val="2"/>
        <charset val="238"/>
      </rPr>
      <t/>
    </r>
  </si>
  <si>
    <r>
      <t xml:space="preserve">ST1  </t>
    </r>
    <r>
      <rPr>
        <sz val="7"/>
        <color indexed="10"/>
        <rFont val="Arial"/>
        <family val="2"/>
        <charset val="238"/>
      </rPr>
      <t>/</t>
    </r>
    <r>
      <rPr>
        <b/>
        <sz val="7"/>
        <color indexed="10"/>
        <rFont val="Arial"/>
        <family val="2"/>
        <charset val="238"/>
      </rPr>
      <t>14</t>
    </r>
    <r>
      <rPr>
        <sz val="10"/>
        <rFont val="Arial"/>
        <family val="2"/>
        <charset val="238"/>
      </rPr>
      <t/>
    </r>
  </si>
  <si>
    <r>
      <t xml:space="preserve">ST1  </t>
    </r>
    <r>
      <rPr>
        <sz val="7"/>
        <color indexed="10"/>
        <rFont val="Arial"/>
        <family val="2"/>
        <charset val="238"/>
      </rPr>
      <t>/</t>
    </r>
    <r>
      <rPr>
        <b/>
        <sz val="7"/>
        <color indexed="10"/>
        <rFont val="Arial"/>
        <family val="2"/>
        <charset val="238"/>
      </rPr>
      <t>15</t>
    </r>
    <r>
      <rPr>
        <sz val="10"/>
        <rFont val="Arial"/>
        <family val="2"/>
        <charset val="238"/>
      </rPr>
      <t/>
    </r>
  </si>
  <si>
    <r>
      <t xml:space="preserve">ST1  </t>
    </r>
    <r>
      <rPr>
        <sz val="7"/>
        <color indexed="10"/>
        <rFont val="Arial"/>
        <family val="2"/>
        <charset val="238"/>
      </rPr>
      <t>/</t>
    </r>
    <r>
      <rPr>
        <b/>
        <sz val="7"/>
        <color indexed="10"/>
        <rFont val="Arial"/>
        <family val="2"/>
        <charset val="238"/>
      </rPr>
      <t>16</t>
    </r>
    <r>
      <rPr>
        <sz val="10"/>
        <rFont val="Arial"/>
        <family val="2"/>
        <charset val="238"/>
      </rPr>
      <t/>
    </r>
  </si>
  <si>
    <r>
      <t xml:space="preserve">ST1  </t>
    </r>
    <r>
      <rPr>
        <sz val="7"/>
        <color indexed="10"/>
        <rFont val="Arial"/>
        <family val="2"/>
        <charset val="238"/>
      </rPr>
      <t>/</t>
    </r>
    <r>
      <rPr>
        <b/>
        <sz val="7"/>
        <color indexed="10"/>
        <rFont val="Arial"/>
        <family val="2"/>
        <charset val="238"/>
      </rPr>
      <t>17</t>
    </r>
    <r>
      <rPr>
        <sz val="10"/>
        <rFont val="Arial"/>
        <family val="2"/>
        <charset val="238"/>
      </rPr>
      <t/>
    </r>
  </si>
  <si>
    <r>
      <t xml:space="preserve">ST1  </t>
    </r>
    <r>
      <rPr>
        <sz val="7"/>
        <color indexed="10"/>
        <rFont val="Arial"/>
        <family val="2"/>
        <charset val="238"/>
      </rPr>
      <t>/</t>
    </r>
    <r>
      <rPr>
        <b/>
        <sz val="7"/>
        <color indexed="10"/>
        <rFont val="Arial"/>
        <family val="2"/>
        <charset val="238"/>
      </rPr>
      <t>18</t>
    </r>
    <r>
      <rPr>
        <sz val="10"/>
        <rFont val="Arial"/>
        <family val="2"/>
        <charset val="238"/>
      </rPr>
      <t/>
    </r>
  </si>
  <si>
    <r>
      <t>ST2  /</t>
    </r>
    <r>
      <rPr>
        <b/>
        <sz val="7"/>
        <rFont val="Arial"/>
        <family val="2"/>
        <charset val="238"/>
      </rPr>
      <t>1</t>
    </r>
    <r>
      <rPr>
        <sz val="7"/>
        <rFont val="Arial"/>
        <family val="2"/>
        <charset val="238"/>
      </rPr>
      <t xml:space="preserve"> </t>
    </r>
  </si>
  <si>
    <r>
      <t>ST2  /</t>
    </r>
    <r>
      <rPr>
        <b/>
        <sz val="7"/>
        <rFont val="Arial"/>
        <family val="2"/>
        <charset val="238"/>
      </rPr>
      <t>2</t>
    </r>
    <r>
      <rPr>
        <sz val="10"/>
        <rFont val="Arial"/>
        <family val="2"/>
        <charset val="238"/>
      </rPr>
      <t/>
    </r>
  </si>
  <si>
    <r>
      <t>ST2  /</t>
    </r>
    <r>
      <rPr>
        <b/>
        <sz val="7"/>
        <rFont val="Arial"/>
        <family val="2"/>
        <charset val="238"/>
      </rPr>
      <t>3</t>
    </r>
    <r>
      <rPr>
        <sz val="10"/>
        <rFont val="Arial"/>
        <family val="2"/>
        <charset val="238"/>
      </rPr>
      <t/>
    </r>
  </si>
  <si>
    <r>
      <t>ST2  /</t>
    </r>
    <r>
      <rPr>
        <b/>
        <sz val="7"/>
        <rFont val="Arial"/>
        <family val="2"/>
        <charset val="238"/>
      </rPr>
      <t>4</t>
    </r>
    <r>
      <rPr>
        <sz val="10"/>
        <rFont val="Arial"/>
        <family val="2"/>
        <charset val="238"/>
      </rPr>
      <t/>
    </r>
  </si>
  <si>
    <r>
      <t xml:space="preserve">ST2  </t>
    </r>
    <r>
      <rPr>
        <sz val="7"/>
        <color indexed="30"/>
        <rFont val="Arial"/>
        <family val="2"/>
        <charset val="238"/>
      </rPr>
      <t>/</t>
    </r>
    <r>
      <rPr>
        <b/>
        <sz val="7"/>
        <color indexed="30"/>
        <rFont val="Arial"/>
        <family val="2"/>
        <charset val="238"/>
      </rPr>
      <t>5</t>
    </r>
    <r>
      <rPr>
        <sz val="10"/>
        <rFont val="Arial"/>
        <family val="2"/>
        <charset val="238"/>
      </rPr>
      <t/>
    </r>
  </si>
  <si>
    <r>
      <t>ST2  /</t>
    </r>
    <r>
      <rPr>
        <b/>
        <sz val="7"/>
        <rFont val="Arial"/>
        <family val="2"/>
        <charset val="238"/>
      </rPr>
      <t>6</t>
    </r>
    <r>
      <rPr>
        <sz val="10"/>
        <rFont val="Arial"/>
        <family val="2"/>
        <charset val="238"/>
      </rPr>
      <t/>
    </r>
  </si>
  <si>
    <r>
      <t>ST2  /</t>
    </r>
    <r>
      <rPr>
        <b/>
        <sz val="7"/>
        <rFont val="Arial"/>
        <family val="2"/>
        <charset val="238"/>
      </rPr>
      <t>7</t>
    </r>
    <r>
      <rPr>
        <sz val="10"/>
        <rFont val="Arial"/>
        <family val="2"/>
        <charset val="238"/>
      </rPr>
      <t/>
    </r>
  </si>
  <si>
    <r>
      <t>ST2  /</t>
    </r>
    <r>
      <rPr>
        <b/>
        <sz val="7"/>
        <rFont val="Arial"/>
        <family val="2"/>
        <charset val="238"/>
      </rPr>
      <t>8</t>
    </r>
    <r>
      <rPr>
        <sz val="10"/>
        <rFont val="Arial"/>
        <family val="2"/>
        <charset val="238"/>
      </rPr>
      <t/>
    </r>
  </si>
  <si>
    <r>
      <t>ST2  /</t>
    </r>
    <r>
      <rPr>
        <b/>
        <sz val="7"/>
        <rFont val="Arial"/>
        <family val="2"/>
        <charset val="238"/>
      </rPr>
      <t>10</t>
    </r>
    <r>
      <rPr>
        <sz val="10"/>
        <rFont val="Arial"/>
        <family val="2"/>
        <charset val="238"/>
      </rPr>
      <t/>
    </r>
  </si>
  <si>
    <r>
      <t xml:space="preserve">ST2  </t>
    </r>
    <r>
      <rPr>
        <sz val="7"/>
        <color indexed="10"/>
        <rFont val="Arial"/>
        <family val="2"/>
        <charset val="238"/>
      </rPr>
      <t>/</t>
    </r>
    <r>
      <rPr>
        <b/>
        <sz val="7"/>
        <color indexed="10"/>
        <rFont val="Arial"/>
        <family val="2"/>
        <charset val="238"/>
      </rPr>
      <t>13</t>
    </r>
    <r>
      <rPr>
        <sz val="10"/>
        <rFont val="Arial"/>
        <family val="2"/>
        <charset val="238"/>
      </rPr>
      <t/>
    </r>
  </si>
  <si>
    <r>
      <t>ST3  /</t>
    </r>
    <r>
      <rPr>
        <b/>
        <sz val="7"/>
        <rFont val="Arial"/>
        <family val="2"/>
        <charset val="238"/>
      </rPr>
      <t>1</t>
    </r>
    <r>
      <rPr>
        <sz val="7"/>
        <rFont val="Arial"/>
        <family val="2"/>
        <charset val="238"/>
      </rPr>
      <t xml:space="preserve"> </t>
    </r>
  </si>
  <si>
    <r>
      <t>ST3  /</t>
    </r>
    <r>
      <rPr>
        <b/>
        <sz val="7"/>
        <rFont val="Arial"/>
        <family val="2"/>
        <charset val="238"/>
      </rPr>
      <t>2</t>
    </r>
    <r>
      <rPr>
        <sz val="10"/>
        <rFont val="Arial"/>
        <family val="2"/>
        <charset val="238"/>
      </rPr>
      <t/>
    </r>
  </si>
  <si>
    <r>
      <t xml:space="preserve">ST3  </t>
    </r>
    <r>
      <rPr>
        <sz val="7"/>
        <color indexed="30"/>
        <rFont val="Arial"/>
        <family val="2"/>
        <charset val="238"/>
      </rPr>
      <t>/</t>
    </r>
    <r>
      <rPr>
        <b/>
        <sz val="7"/>
        <color indexed="30"/>
        <rFont val="Arial"/>
        <family val="2"/>
        <charset val="238"/>
      </rPr>
      <t>3</t>
    </r>
    <r>
      <rPr>
        <sz val="10"/>
        <rFont val="Arial"/>
        <family val="2"/>
        <charset val="238"/>
      </rPr>
      <t/>
    </r>
  </si>
  <si>
    <r>
      <t>ST3  /</t>
    </r>
    <r>
      <rPr>
        <b/>
        <sz val="7"/>
        <rFont val="Arial"/>
        <family val="2"/>
        <charset val="238"/>
      </rPr>
      <t>4</t>
    </r>
    <r>
      <rPr>
        <sz val="10"/>
        <rFont val="Arial"/>
        <family val="2"/>
        <charset val="238"/>
      </rPr>
      <t/>
    </r>
  </si>
  <si>
    <r>
      <t>ST3  /</t>
    </r>
    <r>
      <rPr>
        <b/>
        <sz val="7"/>
        <rFont val="Arial"/>
        <family val="2"/>
        <charset val="238"/>
      </rPr>
      <t>5</t>
    </r>
    <r>
      <rPr>
        <sz val="10"/>
        <rFont val="Arial"/>
        <family val="2"/>
        <charset val="238"/>
      </rPr>
      <t/>
    </r>
  </si>
  <si>
    <r>
      <t>ST3  /</t>
    </r>
    <r>
      <rPr>
        <b/>
        <sz val="7"/>
        <rFont val="Arial"/>
        <family val="2"/>
        <charset val="238"/>
      </rPr>
      <t>6</t>
    </r>
    <r>
      <rPr>
        <sz val="10"/>
        <rFont val="Arial"/>
        <family val="2"/>
        <charset val="238"/>
      </rPr>
      <t/>
    </r>
  </si>
  <si>
    <r>
      <t xml:space="preserve">ST3  </t>
    </r>
    <r>
      <rPr>
        <sz val="7"/>
        <color indexed="10"/>
        <rFont val="Arial"/>
        <family val="2"/>
        <charset val="238"/>
      </rPr>
      <t>/</t>
    </r>
    <r>
      <rPr>
        <b/>
        <sz val="7"/>
        <color indexed="10"/>
        <rFont val="Arial"/>
        <family val="2"/>
        <charset val="238"/>
      </rPr>
      <t>8</t>
    </r>
    <r>
      <rPr>
        <sz val="10"/>
        <rFont val="Arial"/>
        <family val="2"/>
        <charset val="238"/>
      </rPr>
      <t/>
    </r>
  </si>
  <si>
    <r>
      <t xml:space="preserve">ST3  </t>
    </r>
    <r>
      <rPr>
        <sz val="7"/>
        <color indexed="10"/>
        <rFont val="Arial"/>
        <family val="2"/>
        <charset val="238"/>
      </rPr>
      <t>/</t>
    </r>
    <r>
      <rPr>
        <b/>
        <sz val="7"/>
        <color indexed="10"/>
        <rFont val="Arial"/>
        <family val="2"/>
        <charset val="238"/>
      </rPr>
      <t>9</t>
    </r>
    <r>
      <rPr>
        <sz val="10"/>
        <rFont val="Arial"/>
        <family val="2"/>
        <charset val="238"/>
      </rPr>
      <t/>
    </r>
  </si>
  <si>
    <r>
      <t xml:space="preserve">ST3  </t>
    </r>
    <r>
      <rPr>
        <sz val="7"/>
        <color indexed="10"/>
        <rFont val="Arial"/>
        <family val="2"/>
        <charset val="238"/>
      </rPr>
      <t>/</t>
    </r>
    <r>
      <rPr>
        <b/>
        <sz val="7"/>
        <color indexed="10"/>
        <rFont val="Arial"/>
        <family val="2"/>
        <charset val="238"/>
      </rPr>
      <t>10</t>
    </r>
    <r>
      <rPr>
        <sz val="10"/>
        <rFont val="Arial"/>
        <family val="2"/>
        <charset val="238"/>
      </rPr>
      <t/>
    </r>
  </si>
  <si>
    <r>
      <t xml:space="preserve">ST3  </t>
    </r>
    <r>
      <rPr>
        <sz val="7"/>
        <color indexed="10"/>
        <rFont val="Arial"/>
        <family val="2"/>
        <charset val="238"/>
      </rPr>
      <t>/</t>
    </r>
    <r>
      <rPr>
        <b/>
        <sz val="7"/>
        <color indexed="10"/>
        <rFont val="Arial"/>
        <family val="2"/>
        <charset val="238"/>
      </rPr>
      <t>11</t>
    </r>
    <r>
      <rPr>
        <sz val="10"/>
        <rFont val="Arial"/>
        <family val="2"/>
        <charset val="238"/>
      </rPr>
      <t/>
    </r>
  </si>
  <si>
    <r>
      <rPr>
        <b/>
        <sz val="10"/>
        <rFont val="Arial"/>
        <family val="2"/>
        <charset val="238"/>
      </rPr>
      <t>Podlaha v lodi kaple -  1.NP</t>
    </r>
    <r>
      <rPr>
        <b/>
        <sz val="9"/>
        <rFont val="Arial"/>
        <family val="2"/>
        <charset val="238"/>
      </rPr>
      <t xml:space="preserve">
viz   v.č. D.1.12.1.04 + řezy A+B+C</t>
    </r>
  </si>
  <si>
    <r>
      <t xml:space="preserve"> - Dtto, avšak </t>
    </r>
    <r>
      <rPr>
        <b/>
        <sz val="9"/>
        <color indexed="36"/>
        <rFont val="Arial"/>
        <family val="2"/>
        <charset val="238"/>
      </rPr>
      <t>montáž</t>
    </r>
    <r>
      <rPr>
        <sz val="9"/>
        <color indexed="36"/>
        <rFont val="Arial"/>
        <family val="2"/>
        <charset val="238"/>
      </rPr>
      <t xml:space="preserve"> izolace tepelné podlah volně kladenými deskami 1 vrstva</t>
    </r>
  </si>
  <si>
    <t xml:space="preserve"> - Čistící zóna - rohož včetně rámu
 podrobnosti viz v.č. D.1.12.1.04 (tabulka místností)</t>
  </si>
  <si>
    <r>
      <rPr>
        <b/>
        <sz val="10"/>
        <rFont val="Arial"/>
        <family val="2"/>
        <charset val="238"/>
      </rPr>
      <t>Výměry  pro skladby P2 /1 - P2 /5</t>
    </r>
    <r>
      <rPr>
        <sz val="10"/>
        <rFont val="Arial"/>
        <family val="2"/>
        <charset val="238"/>
      </rPr>
      <t xml:space="preserve">
</t>
    </r>
    <r>
      <rPr>
        <sz val="9"/>
        <rFont val="Arial"/>
        <family val="2"/>
        <charset val="238"/>
      </rPr>
      <t xml:space="preserve">- </t>
    </r>
    <r>
      <rPr>
        <b/>
        <sz val="9"/>
        <rFont val="Arial"/>
        <family val="2"/>
        <charset val="238"/>
      </rPr>
      <t>viz v.č. 1NP v.č. D.1.12.1.04 + řezy A+B+C</t>
    </r>
  </si>
  <si>
    <r>
      <rPr>
        <b/>
        <sz val="10"/>
        <rFont val="Arial"/>
        <family val="2"/>
        <charset val="238"/>
      </rPr>
      <t xml:space="preserve">Podlaha na chóru a schodišti - </t>
    </r>
    <r>
      <rPr>
        <b/>
        <sz val="9"/>
        <rFont val="Arial"/>
        <family val="2"/>
        <charset val="238"/>
      </rPr>
      <t xml:space="preserve">
2. NP - viz   v.č. D.1.12.1.05 + řezy A+B+C</t>
    </r>
  </si>
  <si>
    <r>
      <rPr>
        <b/>
        <sz val="10"/>
        <rFont val="Arial"/>
        <family val="2"/>
        <charset val="238"/>
      </rPr>
      <t xml:space="preserve">Výměry  pro skladby P3 /1 </t>
    </r>
    <r>
      <rPr>
        <sz val="10"/>
        <rFont val="Arial"/>
        <family val="2"/>
        <charset val="238"/>
      </rPr>
      <t xml:space="preserve">
- </t>
    </r>
    <r>
      <rPr>
        <b/>
        <sz val="10"/>
        <rFont val="Arial"/>
        <family val="2"/>
        <charset val="238"/>
      </rPr>
      <t>viz v.č. 1NP v.č. D.1.12.1.04 (chór) 
(schodiště) D.1.12.1.03 +D.1.12.1.04 +D.1.12.1.05 +D.1.12.1.06 +D.1.12.1.07
                řezy A+B+C</t>
    </r>
  </si>
  <si>
    <t>podívat se na výkresy</t>
  </si>
  <si>
    <r>
      <t xml:space="preserve">poznámka:
 v rámci Realizační dokumentace budou navrženy případné dilatace podlah. </t>
    </r>
    <r>
      <rPr>
        <b/>
        <sz val="10"/>
        <rFont val="Arial"/>
        <family val="2"/>
        <charset val="238"/>
      </rPr>
      <t>Při oceňování číst současně s příslušnou výkresovou dokumentací.</t>
    </r>
  </si>
  <si>
    <t>S k l a d b y  střech</t>
  </si>
  <si>
    <r>
      <rPr>
        <b/>
        <sz val="9"/>
        <color indexed="8"/>
        <rFont val="Arial"/>
        <family val="2"/>
        <charset val="238"/>
      </rPr>
      <t>Poznámka</t>
    </r>
    <r>
      <rPr>
        <sz val="9"/>
        <color indexed="8"/>
        <rFont val="Arial"/>
        <family val="2"/>
        <charset val="238"/>
      </rPr>
      <t xml:space="preserve"> : 
Součástí zelené střechy jsou také ochranné šachty střešních vpustí, kačírkové lišty na rozhraní skladeb (zelená střecha, terasa) - přímé i v oblouku - atd.
Fólie PVC - P mohou pokládat pouze specializované
a k tomu účelu vyškolené firmy. 
Fólie se aplikují v souladu se zásadami stanovenými
v konstrukčním předpisu.</t>
    </r>
  </si>
  <si>
    <t xml:space="preserve">Konstrukce a práce v 1.PP </t>
  </si>
  <si>
    <r>
      <t xml:space="preserve"> - </t>
    </r>
    <r>
      <rPr>
        <b/>
        <sz val="9"/>
        <color indexed="17"/>
        <rFont val="Arial"/>
        <family val="2"/>
        <charset val="238"/>
      </rPr>
      <t>pás z SBS modifikovaného asfaltu</t>
    </r>
    <r>
      <rPr>
        <sz val="9"/>
        <color indexed="17"/>
        <rFont val="Arial"/>
        <family val="2"/>
        <charset val="238"/>
      </rPr>
      <t xml:space="preserve"> s nosnou vložkou z polyesterové rohože. Pás je na horním povrchu opatřen  jemným separačním posypem a na spodním separační PE fólií, tl. 4 mm                                                                                   </t>
    </r>
  </si>
  <si>
    <r>
      <t xml:space="preserve"> -</t>
    </r>
    <r>
      <rPr>
        <b/>
        <sz val="9"/>
        <color indexed="8"/>
        <rFont val="Arial"/>
        <family val="2"/>
        <charset val="238"/>
      </rPr>
      <t xml:space="preserve"> za studena zpracovatelná asfaltová penetrační emulze na beton    </t>
    </r>
    <r>
      <rPr>
        <sz val="9"/>
        <color indexed="8"/>
        <rFont val="Arial"/>
        <family val="2"/>
        <charset val="238"/>
      </rPr>
      <t xml:space="preserve">                           </t>
    </r>
  </si>
  <si>
    <t xml:space="preserve"> železobetonová deska - pohledový beton hladký,  tl. 150 mm - viz statika                                                                             </t>
  </si>
  <si>
    <t>je ještě nějaká střecha</t>
  </si>
  <si>
    <t>celková váha/t   (t * mj)</t>
  </si>
  <si>
    <t>Výkop pro kapli</t>
  </si>
  <si>
    <t>Hydrodynamická zkouška, kompletní provedení včetně dopravy, montáž a demontáž čerpací osádky a zařízení cca 2ks (upřesnit dle realizační dokumentace)</t>
  </si>
  <si>
    <t xml:space="preserve">Železobetonový prefabrikát kónický tvar tl. 100mm, výška 850mm, h.h. cca průměr vnitřní  400mm, s.h.  průměr vnitřní 720mm, železobetonový staveništní prefabrikát,kónický tvar, vnější povrh z pohledového betonu s výrazným otiskem vertikálních prken - pro bednění budou použita kartáčovaná smrková prkna různých tlouštěk (cca 15, 18 mm), šířek (70, 90, 110 mm) a délek (1500,2000, 2500 mm) + bednění zřízení a odbednění+výztuž+příplatek za tvar kónický+příplatek za povrch pohledového betonu s otiskem </t>
  </si>
  <si>
    <r>
      <t xml:space="preserve">Obetonování šachtového dna - ŽB C16/20 - stěny+ šachtové dno kruhového půdorysu </t>
    </r>
    <r>
      <rPr>
        <sz val="10"/>
        <color indexed="10"/>
        <rFont val="Arial"/>
        <family val="2"/>
        <charset val="238"/>
      </rPr>
      <t xml:space="preserve"> včetně bednění a výztuže ;  výměra: (2*3,14*r) ; 2*3,14*0,5*0,75*0,14</t>
    </r>
    <r>
      <rPr>
        <sz val="10"/>
        <color indexed="8"/>
        <rFont val="Arial"/>
        <family val="2"/>
        <charset val="238"/>
      </rPr>
      <t xml:space="preserve"> </t>
    </r>
  </si>
  <si>
    <t>Napojení trativodu KG DN 50, délka 2 m, zaústěno do vsakovacího objektu velikosti 0,5x0,5x0,5 m (štěrk obalený geotextilii), včetně vodotěsného napojení</t>
  </si>
  <si>
    <t>Vsakovací objekt velikosti 0,5x0,5x0,5 m (štěrk obalený geotextilii), včetně geotextilie</t>
  </si>
  <si>
    <t>Demontáž výsadby solitérních stromů vel. 16-18, včetně přesazení a dopravy na určené místo a rozvojové péče po dobu výstavby kaple, včetně hloubení jamek 0,40-1,0 m3 se 100% výměnou půdy v rovině, výsadba dřeviny s balem 50-60 cm v rovině, hnojení minerálním hnojivem 50g/ks k vysazovaným rostlinám  v rovině,  dodání dlouhodobě působícího hnojiva (ref Silvamix), ukotvení dřeviny podzemním kotvením do obvodu kmene 25 cm,  dodání sady pro kotvení za kořenový bal do obvodu kmene 20 cm, zhotovení obalu kmene z rákosové rohože v rovině, dodání rákosové rohože ke krytí kmene, zhotovení závlahové mísy přes 1m u solitérních dřevin v rovině, ošetření vysazených dřevin, výměra: 15ks</t>
  </si>
  <si>
    <t>Zpětná výsadba solitérních stromů vel. 16-18 na původní místo včetně dopravy, včetně hloubení jamek 0,40-1,0 m3 se 100% výměnou půdy v rovině, výsadba dřeviny s balem 50-60 cm v rovině, hnojení minerálním hnojivem 50g/ks k vysazovaným rostlinám  v rovině,  dodání dlouhodobě působícího hnojiva (ref Silvamix), ukotvení dřeviny podzemním kotvením do obvodu kmene 25 cm,  dodání sady pro kotvení za kořenový bal do obvodu kmene 20 cm, zhotovení obalu kmene z rákosové rohože v rovině, dodání rákosové rohože ke krytí kmene, zhotovení závlahové mísy přes 1m u solitérních dřevin v rovině, ošetření vysazených dřevin, rozvojová péče - 2roky: znovu uvázání dřeviny ke stávajícímu kůlu, odstranění ochrany kmene, výměra: 15ks</t>
  </si>
  <si>
    <t>pak vymazat</t>
  </si>
  <si>
    <r>
      <t xml:space="preserve"> - </t>
    </r>
    <r>
      <rPr>
        <b/>
        <sz val="10"/>
        <color indexed="17"/>
        <rFont val="Arial"/>
        <family val="2"/>
        <charset val="238"/>
      </rPr>
      <t>2)</t>
    </r>
    <r>
      <rPr>
        <sz val="10"/>
        <color indexed="17"/>
        <rFont val="Arial"/>
        <family val="2"/>
        <charset val="238"/>
      </rPr>
      <t xml:space="preserve"> </t>
    </r>
    <r>
      <rPr>
        <b/>
        <sz val="10"/>
        <color indexed="17"/>
        <rFont val="Arial"/>
        <family val="2"/>
        <charset val="238"/>
      </rPr>
      <t>Pohledový beton</t>
    </r>
    <r>
      <rPr>
        <sz val="10"/>
        <color indexed="17"/>
        <rFont val="Arial"/>
        <family val="2"/>
        <charset val="238"/>
      </rPr>
      <t xml:space="preserve"> - samozhutnitelný, 
 v Hlavní lodi tvoří stěny s </t>
    </r>
    <r>
      <rPr>
        <b/>
        <sz val="10"/>
        <color indexed="17"/>
        <rFont val="Arial"/>
        <family val="2"/>
        <charset val="238"/>
      </rPr>
      <t>výrazným otiskem vertikálních prken</t>
    </r>
    <r>
      <rPr>
        <sz val="10"/>
        <color indexed="17"/>
        <rFont val="Arial"/>
        <family val="2"/>
        <charset val="238"/>
      </rPr>
      <t xml:space="preserve">. Prkna budou kartáčovaná smrková   ( tl.cca 15, 18mm šířek 70, 90, 110mm a délek 1500,2000,2500mm) pro bednění použít nová, 
jen vybraná  s výrazným otiskem,  
Podrobnosti viz Výkresová dokumentace a  
Technická zpráva strana 6 + 9 </t>
    </r>
    <r>
      <rPr>
        <sz val="10"/>
        <color indexed="10"/>
        <rFont val="Arial"/>
        <family val="2"/>
        <charset val="238"/>
      </rPr>
      <t>a příloha č.21</t>
    </r>
  </si>
  <si>
    <r>
      <rPr>
        <b/>
        <sz val="9"/>
        <color indexed="30"/>
        <rFont val="Arial"/>
        <family val="2"/>
        <charset val="238"/>
      </rPr>
      <t xml:space="preserve"> - Přirážka</t>
    </r>
    <r>
      <rPr>
        <sz val="9"/>
        <color indexed="30"/>
        <rFont val="Arial"/>
        <family val="2"/>
        <charset val="238"/>
      </rPr>
      <t xml:space="preserve"> na </t>
    </r>
    <r>
      <rPr>
        <b/>
        <sz val="9"/>
        <color indexed="30"/>
        <rFont val="Arial"/>
        <family val="2"/>
        <charset val="238"/>
      </rPr>
      <t xml:space="preserve">zaoblení </t>
    </r>
    <r>
      <rPr>
        <sz val="9"/>
        <color indexed="30"/>
        <rFont val="Arial"/>
        <family val="2"/>
        <charset val="238"/>
      </rPr>
      <t xml:space="preserve">rohů ; 
 poloměr (r) 820mm, tl. 250mm, 3ks  čtvrt kruhů </t>
    </r>
  </si>
  <si>
    <r>
      <rPr>
        <b/>
        <sz val="9"/>
        <color indexed="30"/>
        <rFont val="Arial"/>
        <family val="2"/>
        <charset val="238"/>
      </rPr>
      <t xml:space="preserve"> - Přirážka</t>
    </r>
    <r>
      <rPr>
        <sz val="9"/>
        <color indexed="30"/>
        <rFont val="Arial"/>
        <family val="2"/>
        <charset val="238"/>
      </rPr>
      <t xml:space="preserve"> na </t>
    </r>
    <r>
      <rPr>
        <b/>
        <sz val="9"/>
        <color indexed="30"/>
        <rFont val="Arial"/>
        <family val="2"/>
        <charset val="238"/>
      </rPr>
      <t xml:space="preserve">zaoblení </t>
    </r>
    <r>
      <rPr>
        <sz val="9"/>
        <color indexed="30"/>
        <rFont val="Arial"/>
        <family val="2"/>
        <charset val="238"/>
      </rPr>
      <t>rohů ;  poloměr (r) 700mm, tl. 200mm, 1ks  čtvrt kruhu</t>
    </r>
  </si>
  <si>
    <r>
      <rPr>
        <b/>
        <sz val="9"/>
        <color indexed="30"/>
        <rFont val="Arial"/>
        <family val="2"/>
        <charset val="238"/>
      </rPr>
      <t xml:space="preserve"> - Přirážka</t>
    </r>
    <r>
      <rPr>
        <sz val="9"/>
        <color indexed="30"/>
        <rFont val="Arial"/>
        <family val="2"/>
        <charset val="238"/>
      </rPr>
      <t xml:space="preserve"> na </t>
    </r>
    <r>
      <rPr>
        <b/>
        <sz val="9"/>
        <color indexed="30"/>
        <rFont val="Arial"/>
        <family val="2"/>
        <charset val="238"/>
      </rPr>
      <t xml:space="preserve">zaoblení </t>
    </r>
    <r>
      <rPr>
        <sz val="9"/>
        <color indexed="30"/>
        <rFont val="Arial"/>
        <family val="2"/>
        <charset val="238"/>
      </rPr>
      <t xml:space="preserve">rohů ;  poloměr (r) 700mm, tl. 220mm, 3ks  čtvrt kruhů </t>
    </r>
  </si>
  <si>
    <r>
      <rPr>
        <b/>
        <sz val="9"/>
        <color indexed="30"/>
        <rFont val="Arial"/>
        <family val="2"/>
        <charset val="238"/>
      </rPr>
      <t>výměry :</t>
    </r>
    <r>
      <rPr>
        <sz val="9"/>
        <color indexed="30"/>
        <rFont val="Arial"/>
        <family val="2"/>
        <charset val="238"/>
      </rPr>
      <t xml:space="preserve">
vnitřní poloměr (r) 500mm -  2ks  čtvrt kruhů 
3000mm, dl. 800mm </t>
    </r>
  </si>
  <si>
    <t>vnější  poloměr (r) 700mm, 3ks  čtvrt kruhů 
3000mm, dl. 1100mm</t>
  </si>
  <si>
    <r>
      <t xml:space="preserve"> -</t>
    </r>
    <r>
      <rPr>
        <b/>
        <sz val="9"/>
        <color indexed="10"/>
        <rFont val="Arial"/>
        <family val="2"/>
        <charset val="238"/>
      </rPr>
      <t xml:space="preserve"> Příplatek k cenám stěn  vnitřních </t>
    </r>
    <r>
      <rPr>
        <sz val="9"/>
        <color indexed="10"/>
        <rFont val="Arial"/>
        <family val="2"/>
        <charset val="238"/>
      </rPr>
      <t xml:space="preserve">za pohledový beton s výrazným otiskem  vertikálních prken a dále </t>
    </r>
    <r>
      <rPr>
        <b/>
        <sz val="9"/>
        <color indexed="10"/>
        <rFont val="Arial"/>
        <family val="2"/>
        <charset val="238"/>
      </rPr>
      <t>viz  poznámka č.2 Úvodu  a dále podrobnosti viz   Technická zpráva strana 6 -9.</t>
    </r>
  </si>
  <si>
    <r>
      <rPr>
        <b/>
        <sz val="9"/>
        <color indexed="30"/>
        <rFont val="Arial"/>
        <family val="2"/>
        <charset val="238"/>
      </rPr>
      <t>výměry :</t>
    </r>
    <r>
      <rPr>
        <sz val="9"/>
        <color indexed="30"/>
        <rFont val="Arial"/>
        <family val="2"/>
        <charset val="238"/>
      </rPr>
      <t xml:space="preserve">
vnitřní poloměr (r) 500mm -  
2ks  čtvrt kruhů (1ks- v.2700mm+1ks- 2400mm)
 výměra ; dl. 800mm v.(2,70+2,40)</t>
    </r>
  </si>
  <si>
    <t>vnější  poloměr (r) 700mm  - 
4ks  čtvrt kruhů (1ks-v.2400mm+1ks-v.2700mm+2ks- v.5300)
výměra ; dl. 1100mm *v.(2,40+2,70+5,30*2)</t>
  </si>
  <si>
    <r>
      <t xml:space="preserve">Příplatek k cenám stěn  vnitřních za pohledový beton s výrazným otiskem vertikálních prken  </t>
    </r>
    <r>
      <rPr>
        <b/>
        <sz val="9"/>
        <color indexed="10"/>
        <rFont val="Arial"/>
        <family val="2"/>
        <charset val="238"/>
      </rPr>
      <t>viz  pozn</t>
    </r>
    <r>
      <rPr>
        <sz val="9"/>
        <color indexed="10"/>
        <rFont val="Arial"/>
        <family val="2"/>
        <charset val="238"/>
      </rPr>
      <t>ámka</t>
    </r>
    <r>
      <rPr>
        <b/>
        <sz val="9"/>
        <color indexed="10"/>
        <rFont val="Arial"/>
        <family val="2"/>
        <charset val="238"/>
      </rPr>
      <t xml:space="preserve"> č.2 Úvodu </t>
    </r>
    <r>
      <rPr>
        <sz val="9"/>
        <color indexed="10"/>
        <rFont val="Arial"/>
        <family val="2"/>
        <charset val="238"/>
      </rPr>
      <t>a dále</t>
    </r>
    <r>
      <rPr>
        <b/>
        <sz val="9"/>
        <color indexed="10"/>
        <rFont val="Arial"/>
        <family val="2"/>
        <charset val="238"/>
      </rPr>
      <t>. Podrobnosti viz T</t>
    </r>
    <r>
      <rPr>
        <sz val="9"/>
        <color indexed="10"/>
        <rFont val="Arial"/>
        <family val="2"/>
        <charset val="238"/>
      </rPr>
      <t>echnická</t>
    </r>
    <r>
      <rPr>
        <b/>
        <sz val="9"/>
        <color indexed="10"/>
        <rFont val="Arial"/>
        <family val="2"/>
        <charset val="238"/>
      </rPr>
      <t xml:space="preserve"> z</t>
    </r>
    <r>
      <rPr>
        <sz val="9"/>
        <color indexed="10"/>
        <rFont val="Arial"/>
        <family val="2"/>
        <charset val="238"/>
      </rPr>
      <t>práva</t>
    </r>
    <r>
      <rPr>
        <b/>
        <sz val="9"/>
        <color indexed="10"/>
        <rFont val="Arial"/>
        <family val="2"/>
        <charset val="238"/>
      </rPr>
      <t xml:space="preserve"> strana 6 a 9.</t>
    </r>
  </si>
  <si>
    <r>
      <t xml:space="preserve"> - Prostupy žlb konstrukcí  </t>
    </r>
    <r>
      <rPr>
        <sz val="10"/>
        <color indexed="8"/>
        <rFont val="Calibri"/>
        <family val="2"/>
        <charset val="238"/>
      </rPr>
      <t>vodotěsný, těsnicí manžeta s asfaltovou izolační manžetou, určená pro těsné prostupy instalací hydroizolací spodní stavby/základové desky, včetně chráničky vkládané do bednění, výměra: cca</t>
    </r>
  </si>
  <si>
    <r>
      <t xml:space="preserve"> - Prostupy žlb konstrukcí a</t>
    </r>
    <r>
      <rPr>
        <sz val="10"/>
        <color indexed="8"/>
        <rFont val="Calibri"/>
        <family val="2"/>
        <charset val="238"/>
      </rPr>
      <t xml:space="preserve"> konstrukčními skladbami vodotěsný, prostup pro potrubí, včetně těsnící manžety a chráničky vkládané do bednění, výměra: cca</t>
    </r>
  </si>
  <si>
    <t>Úpravy povrchů vnitřní</t>
  </si>
  <si>
    <r>
      <t xml:space="preserve"> -</t>
    </r>
    <r>
      <rPr>
        <b/>
        <sz val="9"/>
        <color indexed="8"/>
        <rFont val="Arial"/>
        <family val="2"/>
        <charset val="238"/>
      </rPr>
      <t xml:space="preserve"> retenční rohož</t>
    </r>
    <r>
      <rPr>
        <sz val="9"/>
        <color indexed="8"/>
        <rFont val="Arial"/>
        <family val="2"/>
        <charset val="238"/>
      </rPr>
      <t xml:space="preserve"> - plastová kalíšková rohož s hydroakumulační schopností, pevnost v tlaku 322 kN/m2, tl. 25mm</t>
    </r>
  </si>
  <si>
    <r>
      <t xml:space="preserve"> - </t>
    </r>
    <r>
      <rPr>
        <b/>
        <sz val="9"/>
        <color indexed="8"/>
        <rFont val="Arial"/>
        <family val="2"/>
        <charset val="238"/>
      </rPr>
      <t>Kačírkové lišty</t>
    </r>
    <r>
      <rPr>
        <sz val="9"/>
        <color indexed="8"/>
        <rFont val="Arial"/>
        <family val="2"/>
        <charset val="238"/>
      </rPr>
      <t xml:space="preserve"> na rozhraní skladeb (zelená střecha, terasa) - přímé 
    i v oblouku, </t>
    </r>
    <r>
      <rPr>
        <b/>
        <sz val="9"/>
        <color indexed="8"/>
        <rFont val="Arial"/>
        <family val="2"/>
        <charset val="238"/>
      </rPr>
      <t xml:space="preserve">výměra: </t>
    </r>
    <r>
      <rPr>
        <sz val="9"/>
        <color indexed="8"/>
        <rFont val="Arial"/>
        <family val="2"/>
        <charset val="238"/>
      </rPr>
      <t xml:space="preserve">rovných 8,00m+ v oblouku 11,35m </t>
    </r>
  </si>
  <si>
    <t>předstěna m.č.0.5+0.6+0.3 / (0,95+1,135)*cca v. (0,19+2,50)+(0,90*v.1,50*2+0,20*0,90)</t>
  </si>
  <si>
    <t>S 1</t>
  </si>
  <si>
    <t xml:space="preserve">   Obvodová stěna lodě kaple 
nad úrovní terénu</t>
  </si>
  <si>
    <r>
      <t xml:space="preserve">S1 / </t>
    </r>
    <r>
      <rPr>
        <b/>
        <sz val="11"/>
        <rFont val="Arial"/>
        <family val="2"/>
        <charset val="238"/>
      </rPr>
      <t>1</t>
    </r>
  </si>
  <si>
    <t xml:space="preserve"> - železobetonová stěna - pohledový beton, tl. 200 mm</t>
  </si>
  <si>
    <r>
      <t xml:space="preserve">S1 / </t>
    </r>
    <r>
      <rPr>
        <b/>
        <sz val="11"/>
        <rFont val="Arial"/>
        <family val="2"/>
        <charset val="238"/>
      </rPr>
      <t>2</t>
    </r>
  </si>
  <si>
    <t xml:space="preserve">622250001 </t>
  </si>
  <si>
    <t>Příplatek k cenám kontaktního zateplení vnějších stěn 
za zaoblení desek z EPS</t>
  </si>
  <si>
    <t>S 2</t>
  </si>
  <si>
    <t xml:space="preserve">obvodová stěna věže kaple 
nad úrovní terénu, </t>
  </si>
  <si>
    <t xml:space="preserve">viz pohledy v.č.D.1.12.1.11 až 14 </t>
  </si>
  <si>
    <t>poznámka : výměry odměřeny  digitálně z pohledů</t>
  </si>
  <si>
    <t xml:space="preserve">výměry z pohledů : </t>
  </si>
  <si>
    <t>východní /  27,72m2</t>
  </si>
  <si>
    <t>jižní         / 18,90 m2</t>
  </si>
  <si>
    <t>západní   / 45,30 m2</t>
  </si>
  <si>
    <t>sevarní    / 27,90 m2</t>
  </si>
  <si>
    <t>odpočet oken   -(2,10*2+3,00)*1,00</t>
  </si>
  <si>
    <t>odpočet dveří   -(0,84*2,20)</t>
  </si>
  <si>
    <t>odpočet fenolické izolace / -0,57*2*8,0bm</t>
  </si>
  <si>
    <r>
      <rPr>
        <b/>
        <sz val="9"/>
        <rFont val="Arial"/>
        <family val="2"/>
        <charset val="238"/>
      </rPr>
      <t>S2</t>
    </r>
    <r>
      <rPr>
        <b/>
        <sz val="8"/>
        <rFont val="Arial"/>
        <family val="2"/>
        <charset val="238"/>
      </rPr>
      <t xml:space="preserve"> / </t>
    </r>
    <r>
      <rPr>
        <b/>
        <sz val="10"/>
        <rFont val="Arial"/>
        <family val="2"/>
        <charset val="238"/>
      </rPr>
      <t>1</t>
    </r>
  </si>
  <si>
    <t xml:space="preserve">Plánovací cena </t>
  </si>
  <si>
    <t xml:space="preserve"> - lepící stěrkovací hmota, tl. 5 mm, celoplošně nanášená</t>
  </si>
  <si>
    <t>28375985</t>
  </si>
  <si>
    <t xml:space="preserve"> - dodávka - tepelná izolace EPS 100F, pro konstr. s běžným zatížením, 
    tl. 160mm +20% prořez</t>
  </si>
  <si>
    <t>622211031/P</t>
  </si>
  <si>
    <t xml:space="preserve"> - tepelná izolace EPS 100F, tl. 160 mm 
montáž kontaktního zateplení vnějších stěn celoplošným lepením a mechanickým kotvením polystyrénových desek do betonu a zdiva tl přes 120 do 160 mm  (lambda W/m.K 0,037). Počet kotev dle Technologického předpisu ETICS</t>
  </si>
  <si>
    <t>622251101</t>
  </si>
  <si>
    <t>Příplatek k cenám kontaktního zateplení vnějších stěn za zápustnou montáž a použití tepelně izolačních zátek z polystyrenu</t>
  </si>
  <si>
    <t>622251201</t>
  </si>
  <si>
    <t>Příplatek k cenám kontaktního zateplení vnějších stěn za použití disperzní (organické) armovací hmoty stěrkování</t>
  </si>
  <si>
    <t>19112078</t>
  </si>
  <si>
    <t xml:space="preserve"> dodávka - ukončení (zakládací) dolní zateplené fasády 
 tl. tepelné izolace 160 mm (okapnice, zakládací profil)
 TiZn plech tl 0,6-0,8 mm . 
Výměry: (0,70+3,00+3,05+0,20+0,70)* 1,10</t>
  </si>
  <si>
    <t>622252001</t>
  </si>
  <si>
    <t xml:space="preserve">dtto;  montáž včetně kotvení </t>
  </si>
  <si>
    <t>63127261</t>
  </si>
  <si>
    <r>
      <t>S2 /</t>
    </r>
    <r>
      <rPr>
        <b/>
        <sz val="11"/>
        <rFont val="Arial"/>
        <family val="2"/>
        <charset val="238"/>
      </rPr>
      <t xml:space="preserve"> 4</t>
    </r>
  </si>
  <si>
    <t>622142001
D+M</t>
  </si>
  <si>
    <r>
      <t>S2 /</t>
    </r>
    <r>
      <rPr>
        <b/>
        <sz val="11"/>
        <rFont val="Arial"/>
        <family val="2"/>
        <charset val="238"/>
      </rPr>
      <t xml:space="preserve"> 4a</t>
    </r>
  </si>
  <si>
    <t xml:space="preserve"> - lepící a stěrkovací hmota celoplošně nanášená, 
   tl. 2 mm + 
 -  armovací tkanina  +
 -  lepící a stěrkovací hmota celoplošně nanášená,
   tl. 2 mm         </t>
  </si>
  <si>
    <t>622131129/P</t>
  </si>
  <si>
    <t xml:space="preserve"> - zpevňující penetrační nátěr</t>
  </si>
  <si>
    <t>Plánovací 
cena D+M</t>
  </si>
  <si>
    <t xml:space="preserve"> - Omítka s modifikovaným silikátovým pojivem a s fotokatalickým efektem, fasádní probarvená - bílá, tl.1,5mm</t>
  </si>
  <si>
    <t>DOPLNIT rohovníky k vnějšímu zateplení</t>
  </si>
  <si>
    <t>S 3</t>
  </si>
  <si>
    <t xml:space="preserve"> obvodová stěna věže kaple 
u šikmého ostění</t>
  </si>
  <si>
    <t xml:space="preserve">výměry z pohledů :   v.č.D.1.12.1.11 až 14 </t>
  </si>
  <si>
    <t>ostění  : 1,20bm*8,30v.*2ks</t>
  </si>
  <si>
    <t>nadpraží : 1,0*3,0š.</t>
  </si>
  <si>
    <t>parapet : 0,50*3,0bm</t>
  </si>
  <si>
    <r>
      <t>S3 /</t>
    </r>
    <r>
      <rPr>
        <b/>
        <sz val="11"/>
        <rFont val="Arial"/>
        <family val="2"/>
        <charset val="238"/>
      </rPr>
      <t xml:space="preserve"> 1</t>
    </r>
  </si>
  <si>
    <t xml:space="preserve"> -  dodávka - tepelná izolace z fenolické pěny, 
    kontaktní fasádní  desky, součinitel tepelné 
    vodivosti λ max 0,020 w/m.k, tl. 50 mm 
    + 20% prořez=24,40m2*1,20</t>
  </si>
  <si>
    <t>622231111</t>
  </si>
  <si>
    <t>Příplatek k cenám kontaktního  zateplení vnějších stěn za použití disperzní (organické) armovací hmoty stěrkování</t>
  </si>
  <si>
    <t>622251107</t>
  </si>
  <si>
    <t>Příplatek k cenám kontaktního zateplení vnějších stěn 
za zalomenou desek z fenolické pěny</t>
  </si>
  <si>
    <r>
      <rPr>
        <b/>
        <sz val="9"/>
        <rFont val="Arial"/>
        <family val="2"/>
        <charset val="238"/>
      </rPr>
      <t xml:space="preserve">S3 </t>
    </r>
    <r>
      <rPr>
        <b/>
        <sz val="8"/>
        <rFont val="Arial"/>
        <family val="2"/>
        <charset val="238"/>
      </rPr>
      <t>/</t>
    </r>
    <r>
      <rPr>
        <b/>
        <sz val="11"/>
        <rFont val="Arial"/>
        <family val="2"/>
        <charset val="238"/>
      </rPr>
      <t xml:space="preserve"> 5</t>
    </r>
  </si>
  <si>
    <r>
      <rPr>
        <b/>
        <sz val="9"/>
        <rFont val="Arial"/>
        <family val="2"/>
        <charset val="238"/>
      </rPr>
      <t xml:space="preserve">S3 </t>
    </r>
    <r>
      <rPr>
        <b/>
        <sz val="8"/>
        <rFont val="Arial"/>
        <family val="2"/>
        <charset val="238"/>
      </rPr>
      <t>/</t>
    </r>
    <r>
      <rPr>
        <b/>
        <sz val="11"/>
        <rFont val="Arial"/>
        <family val="2"/>
        <charset val="238"/>
      </rPr>
      <t>5a</t>
    </r>
  </si>
  <si>
    <t>629999021</t>
  </si>
  <si>
    <r>
      <t>S3 /</t>
    </r>
    <r>
      <rPr>
        <b/>
        <sz val="11"/>
        <rFont val="Arial"/>
        <family val="2"/>
        <charset val="238"/>
      </rPr>
      <t>5b</t>
    </r>
  </si>
  <si>
    <t>Příplatek k omítce za provádění  zalomených ploch poloměru přes 100mm</t>
  </si>
  <si>
    <t>S 4</t>
  </si>
  <si>
    <t xml:space="preserve"> stěna vstupního portálu</t>
  </si>
  <si>
    <t>výměry pro tepelnou izolaci:  z půdorysů a řezů  v.č. v.č.D.1.12.1.11 +  .04 +. 05 + .09</t>
  </si>
  <si>
    <t>(0,70+1,25)*4,23</t>
  </si>
  <si>
    <t>viz Truhlářské výrobky</t>
  </si>
  <si>
    <r>
      <t xml:space="preserve">S4 / </t>
    </r>
    <r>
      <rPr>
        <b/>
        <sz val="11"/>
        <rFont val="Arial"/>
        <family val="2"/>
        <charset val="238"/>
      </rPr>
      <t>1</t>
    </r>
  </si>
  <si>
    <t>55324760/P</t>
  </si>
  <si>
    <r>
      <t xml:space="preserve">S4 / </t>
    </r>
    <r>
      <rPr>
        <b/>
        <sz val="11"/>
        <rFont val="Arial"/>
        <family val="2"/>
        <charset val="238"/>
      </rPr>
      <t>2</t>
    </r>
  </si>
  <si>
    <t xml:space="preserve"> - dodávka - tepelná izolace - minerální vlna skryté kotvení 
U = 0,43W/m2K    tl. 100mm / 
výměra 8,2485m2*1,20  </t>
  </si>
  <si>
    <t>622221023/P</t>
  </si>
  <si>
    <r>
      <t xml:space="preserve">S4 / </t>
    </r>
    <r>
      <rPr>
        <b/>
        <sz val="11"/>
        <rFont val="Arial"/>
        <family val="2"/>
        <charset val="238"/>
      </rPr>
      <t>2</t>
    </r>
    <r>
      <rPr>
        <b/>
        <sz val="9"/>
        <rFont val="Arial"/>
        <family val="2"/>
        <charset val="238"/>
      </rPr>
      <t>a</t>
    </r>
  </si>
  <si>
    <t xml:space="preserve"> - dtto avšak montáž - </t>
  </si>
  <si>
    <r>
      <t xml:space="preserve">S4 / </t>
    </r>
    <r>
      <rPr>
        <b/>
        <sz val="11"/>
        <rFont val="Arial"/>
        <family val="2"/>
        <charset val="238"/>
      </rPr>
      <t>3</t>
    </r>
  </si>
  <si>
    <t xml:space="preserve">  - nosná konstrukce  z  KVH hranolů, tl. 100/100 mm, včetně impregnace řeziva  proti dřevokaznému hmyzu, houbám a plísním máčením třída ohrožení 3 a 4.
Dřevěná konstrukce, spojovací prvky a kotvení do betonové stěny budou upřesněny v dílenské dokumentaci.
výměra : 
cca dl.(4,30*2+0,70*2+0,50*8)+(4,30*4+1,25*2+1,05*8)</t>
  </si>
  <si>
    <r>
      <t xml:space="preserve">S4 / </t>
    </r>
    <r>
      <rPr>
        <b/>
        <sz val="11"/>
        <rFont val="Arial"/>
        <family val="2"/>
        <charset val="238"/>
      </rPr>
      <t>4</t>
    </r>
  </si>
  <si>
    <t xml:space="preserve"> - difuzně otevřená fólie proti povětrnostním vlivům, 
    tl. 1 mm </t>
  </si>
  <si>
    <t>výměra :  š 1,25m*2ks*dl.4,3 m + přesah 15%</t>
  </si>
  <si>
    <r>
      <t xml:space="preserve">S4 / </t>
    </r>
    <r>
      <rPr>
        <b/>
        <sz val="11"/>
        <rFont val="Arial"/>
        <family val="2"/>
        <charset val="238"/>
      </rPr>
      <t>4a</t>
    </r>
  </si>
  <si>
    <t xml:space="preserve"> - vzduchová mezera / dřevěné latě, tl. 40 mm, včetně kotvení, včetně impregnace řeziva  proti dřevokaznému hmyzu, houbám a plísním máčením třída ohrožení 3 a 4.
</t>
  </si>
  <si>
    <r>
      <t xml:space="preserve">S4 / </t>
    </r>
    <r>
      <rPr>
        <b/>
        <sz val="11"/>
        <rFont val="Arial"/>
        <family val="2"/>
        <charset val="238"/>
      </rPr>
      <t>5</t>
    </r>
  </si>
  <si>
    <t xml:space="preserve"> - celoplošné bednění z prken, tl. 26 mm včetně impregnace řeziva  proti dřevokaznému hmyzu, houbám a plísním máčením třída ohrožení 3 a 4, včetně kotvení </t>
  </si>
  <si>
    <t xml:space="preserve"> - fasádní obklad - falcovaný hliníkový plech se stojatou drážkou, barva: antracitová šedá, tl. 0,7 mm, včetně kotvení.
Uvedená výměra v m2 je  z rozměru plochy stěny podle projektu bez překrytí a prořezu. Skutečnou plochu pro dodávku si určí prováděcí firma. </t>
  </si>
  <si>
    <t>S 5</t>
  </si>
  <si>
    <t xml:space="preserve"> obvodová stěna lodě
pod úrovní terénu</t>
  </si>
  <si>
    <t>poznámka : výměry měřeny digitálně</t>
  </si>
  <si>
    <t>jižní a východní pohled ; 
15,0*3,50+(práh pod vstupem 0,75*2,30+0,75*0,80*2)</t>
  </si>
  <si>
    <t>severní a západní pohled ; 3,25m2+1,90*7,11+14,20m2</t>
  </si>
  <si>
    <t xml:space="preserve"> - za studena zpracovatelná asfaltová penetrační 
   emulze na beton - svislá</t>
  </si>
  <si>
    <t>622211021</t>
  </si>
  <si>
    <t>711161212
D + M</t>
  </si>
  <si>
    <r>
      <rPr>
        <b/>
        <sz val="9"/>
        <rFont val="Arial"/>
        <family val="2"/>
        <charset val="238"/>
      </rPr>
      <t>S5</t>
    </r>
    <r>
      <rPr>
        <b/>
        <sz val="8"/>
        <rFont val="Arial"/>
        <family val="2"/>
        <charset val="238"/>
      </rPr>
      <t xml:space="preserve">/ </t>
    </r>
    <r>
      <rPr>
        <b/>
        <sz val="10"/>
        <rFont val="Arial"/>
        <family val="2"/>
        <charset val="238"/>
      </rPr>
      <t>4</t>
    </r>
  </si>
  <si>
    <t xml:space="preserve"> - nopová drenážní fólie svislá (HDPE), nopy tl. 8mm,
   tl.  fólie 0,6mm ;  výměra : 86,40*1,10přesah</t>
  </si>
  <si>
    <t>doplnit ;  přirážka za zaoblení</t>
  </si>
  <si>
    <t>S 6</t>
  </si>
  <si>
    <t xml:space="preserve"> obvodová stěna věže
pod úrovní terénu</t>
  </si>
  <si>
    <t>jižní, severní a západní, východní pohled ; 
0,70*2,25+3,00*Ø2,40+3,00*Ø3,05+0,70*3,55</t>
  </si>
  <si>
    <t xml:space="preserve"> výměra : </t>
  </si>
  <si>
    <t>622211032</t>
  </si>
  <si>
    <t xml:space="preserve"> - nopová drenážní fólie svislá (HDPE), nopy
   tl. 8mm, tl.  fólie 0,6mm ; výměra : 20,40m2*1,10přesah</t>
  </si>
  <si>
    <t>Soklová část zdiva věže kaple 
nad úrovní terénu 
(vrstvy od tepelné izolace směrem ven)</t>
  </si>
  <si>
    <t>ST4 - Střecha vstupního portálu</t>
  </si>
  <si>
    <t>63153700/P</t>
  </si>
  <si>
    <r>
      <t xml:space="preserve"> -</t>
    </r>
    <r>
      <rPr>
        <b/>
        <sz val="9"/>
        <rFont val="Arial"/>
        <family val="2"/>
        <charset val="238"/>
      </rPr>
      <t xml:space="preserve"> separační </t>
    </r>
    <r>
      <rPr>
        <sz val="9"/>
        <rFont val="Arial"/>
        <family val="2"/>
        <charset val="238"/>
      </rPr>
      <t>a drenážní vrstva, výměra: cca 1,00m*2,80m</t>
    </r>
  </si>
  <si>
    <r>
      <t xml:space="preserve"> - </t>
    </r>
    <r>
      <rPr>
        <b/>
        <sz val="9"/>
        <rFont val="Arial"/>
        <family val="2"/>
        <charset val="238"/>
      </rPr>
      <t>pojistná hydroizolační</t>
    </r>
    <r>
      <rPr>
        <sz val="9"/>
        <rFont val="Arial"/>
        <family val="2"/>
        <charset val="238"/>
      </rPr>
      <t xml:space="preserve"> vrstva tl. 1 mm,  výměra: cca 1,00m*2,80m</t>
    </r>
  </si>
  <si>
    <t xml:space="preserve"> - lepící a stěrkovací hmota celoplošně nanášená, tl. 2 mm + 
 -  armovací tkanina  +
 -  lepící a stěrkovací hmota celoplošně nanášená, tl. 2 mm         </t>
  </si>
  <si>
    <t>622142000/P
D+M</t>
  </si>
  <si>
    <t>622151011/P</t>
  </si>
  <si>
    <t>poznámka : výměry měřeny digitálně, hydroizolace+tepelná izolace je zahrnuta ve stěně "S6" věže pod úrovní terénu.</t>
  </si>
  <si>
    <t xml:space="preserve"> - příplatek za oblé přichycení  lišt</t>
  </si>
  <si>
    <t>58331200/D</t>
  </si>
  <si>
    <r>
      <t xml:space="preserve"> - Vodorovné přemístění do 10000m výkopku</t>
    </r>
    <r>
      <rPr>
        <sz val="10"/>
        <rFont val="Arial"/>
        <family val="2"/>
        <charset val="238"/>
      </rPr>
      <t>/sypaniny z</t>
    </r>
    <r>
      <rPr>
        <b/>
        <sz val="10"/>
        <rFont val="Arial"/>
        <family val="2"/>
        <charset val="238"/>
      </rPr>
      <t xml:space="preserve"> </t>
    </r>
    <r>
      <rPr>
        <sz val="10"/>
        <rFont val="Arial"/>
        <family val="2"/>
        <charset val="238"/>
      </rPr>
      <t>horniny třídy těžitelnosti II,skupiny 4+5 (beton+navážka)</t>
    </r>
    <r>
      <rPr>
        <b/>
        <sz val="10"/>
        <rFont val="Arial"/>
        <family val="2"/>
        <charset val="238"/>
      </rPr>
      <t xml:space="preserve"> + </t>
    </r>
    <r>
      <rPr>
        <sz val="10"/>
        <rFont val="Arial"/>
        <family val="2"/>
        <charset val="238"/>
      </rPr>
      <t>pro vsakovací objekt 3,768 m3+prodrenáž a patku5,3405m3</t>
    </r>
  </si>
  <si>
    <t>Nadzemní vzt hlavice válcového tvaru 
s protidešťovou hlavicí po celém obvodu,
vnější ∅560 (připojovací potrubí DN400)
vyrobeno z pozinkovaného plechu
povrchová úprava s finální barevností
ral 7016 antracitová šedá matná, uvedeno v části dokumentace VZT</t>
  </si>
  <si>
    <t>skladba vzt 1
Ochranná geotextilie       2 mm
Hydroizolace - PVC-P fólie se zabudovaným skleněným  
rounem, svařená, na koncích stažená páskami  4 mm
Tepelná izolace - čedičová vata stažená strunami  100 mm
Potrubí KG DN 400 400 mm, část podzemního  KG potrubí ve spádu 16,7%
Tepelná izolace - čedičová vata stažená strunami  100 mm
Hydroizolace - PVC-P fólie se zabudovaným skleněným 
   rounem, svařená, na koncích stažená páskami  4 mm
Ochranná geotextilie       2 mm
Štěrkopískový podsyp zhutněný, tl. 150 mm
Výkop ve štěrkopísku</t>
  </si>
  <si>
    <t xml:space="preserve">poznámky pro provedení betonových konstrukcí: </t>
  </si>
  <si>
    <t xml:space="preserve"> 1) V železobetonových konstrukcích bude provedeno trubkování pro vedení instalací-podrobnosti viz: nutné vypracování dodavatelské dokumentace v návaznosti na profese. Pracovní spáry stěn budou 
opatřeny vylamovací výztuží pro napojení dalšího záběru.
Při oceňování číst spolu Výkresovou  dokumentaci a Technickou zprávu.</t>
  </si>
  <si>
    <t>763121433/P</t>
  </si>
  <si>
    <r>
      <rPr>
        <b/>
        <sz val="9"/>
        <rFont val="Arial"/>
        <family val="2"/>
        <charset val="238"/>
      </rPr>
      <t xml:space="preserve">Přirážka </t>
    </r>
    <r>
      <rPr>
        <sz val="9"/>
        <rFont val="Arial"/>
        <family val="2"/>
        <charset val="238"/>
      </rPr>
      <t xml:space="preserve">za pohledový beton </t>
    </r>
  </si>
  <si>
    <t>622142001</t>
  </si>
  <si>
    <t xml:space="preserve">Statika - základy, stropy, stěny+věž, sloupy, schodiště </t>
  </si>
  <si>
    <t>název stavby</t>
  </si>
  <si>
    <t>název stavby :</t>
  </si>
  <si>
    <t>SO 704 - Kaple s vyhlídkou</t>
  </si>
  <si>
    <t>Přesun hmot pro budovy zděné v přes 12 do 24 m</t>
  </si>
  <si>
    <t>941321112</t>
  </si>
  <si>
    <t>Pronájem jeřábu 90 dní</t>
  </si>
  <si>
    <t>Montáž jeřábu</t>
  </si>
  <si>
    <t>Demontáž jeřábu</t>
  </si>
  <si>
    <t>den</t>
  </si>
  <si>
    <t>měsíc</t>
  </si>
  <si>
    <t xml:space="preserve">Skladby s t ě n o v ý ch  konstrukcí </t>
  </si>
  <si>
    <t>Skladby stěnových konstrukcí</t>
  </si>
  <si>
    <t>Prostupy pro elektro střechou včetně vodotěsných prostupů konstrukcemi, vodotěsná manžeta, včetně kotvení, kompletní provedení</t>
  </si>
  <si>
    <t>Čerpání betonu (pumpa)</t>
  </si>
  <si>
    <t>Zdravotně technické instalace - voda, kanalizace</t>
  </si>
  <si>
    <t>Vzduchotechnika</t>
  </si>
  <si>
    <t>Klempířské konstrukce</t>
  </si>
  <si>
    <t>Truhlářské konstrukce</t>
  </si>
  <si>
    <t>Zámečnické konstrukce</t>
  </si>
  <si>
    <t>Výplně otvorů - okna</t>
  </si>
  <si>
    <t>Výplně otvorů - dveře</t>
  </si>
  <si>
    <t>Elektroinstalace - silno</t>
  </si>
  <si>
    <t>Elektroinstalace - osvětlení</t>
  </si>
  <si>
    <t>Specifikace ostatních výrobků</t>
  </si>
  <si>
    <t>Prefabrikát pro světlík  dl. 8,40m viz detail č.4</t>
  </si>
  <si>
    <t>Dokumentace skutečného provedení</t>
  </si>
  <si>
    <t>Geodetické zaměření a vytyčení</t>
  </si>
  <si>
    <t>Soupis prací a dodávek s výkazem výměr - Položkový rozpočet</t>
  </si>
  <si>
    <t>NÁMĚSTÍ BĚCHOVICE -  KAPLE S VYHLÍDKOU</t>
  </si>
  <si>
    <t>místo stavby:</t>
  </si>
  <si>
    <t xml:space="preserve">Zdravotně technické instalace </t>
  </si>
  <si>
    <t xml:space="preserve">VRN - GZS </t>
  </si>
  <si>
    <t>popis</t>
  </si>
  <si>
    <t>m.
j..</t>
  </si>
  <si>
    <t>počet 
m.j..</t>
  </si>
  <si>
    <t>jednotková cena / m.j.</t>
  </si>
  <si>
    <t>cena celkem</t>
  </si>
  <si>
    <t>1)Soupis prací a dodávek  je zpracován dle Vyhlášky 169 ze dne 12.05.2016</t>
  </si>
  <si>
    <t>2) Neopominutelným podkladem  pro ocenění je projektová dokumentace.</t>
  </si>
  <si>
    <t xml:space="preserve">3) Při oceňování díla stavební firmou je PD a TZ technicky i technologicky nadřazena soupisu prací a dodávek s výkazem výměr . Zhotovitel díla odpovídá za to, že provedl kontrolu kompletnosti seznamu operací v soupise prací a dodávek s výkazem výměr a do své nabídky zahrnul veškeré dodávky a kompletní provedení prací nutné k  provedení díla, které je předmětem smlouvy a bude  schopno plnit svoji funkci po dobu několika desítek let.  </t>
  </si>
  <si>
    <t>4) Hutnění konstrukcí nových i stávajících po demontáži. Konstrukce pro zpevnění hutnit po jednotlivých podkladních vrstvách  dle PD a IGP.</t>
  </si>
  <si>
    <t xml:space="preserve">5) Detaily a podrobnosti dle PD </t>
  </si>
  <si>
    <t>6) Likvidace kovových částí: Veškeré kovové části budou před odvozem k prodeji zváženy a jejich hmotnost zapsána do Stavebního deníku. Následně budou odvezeny a prodány jako druhotné suroviny do Kovošrotu za cenu platnou v den prodeje. Jejich výtěžek bude poslán na účet investora ve výši ceny platné v den prodeje.</t>
  </si>
  <si>
    <t>7) Jednotková cena obsahuje přesun hmot, není-li uvedeno samostatně.</t>
  </si>
  <si>
    <t>8) Výměry jsou vykázány odměřením  nebo změřeno digitálně z výkresů PD.</t>
  </si>
  <si>
    <t>Splašková kanalizace</t>
  </si>
  <si>
    <t>Přípojka splaškové kanalizace</t>
  </si>
  <si>
    <t>Výřez a montáž tvarovek odbočných na potrubí z kanalizačních trub z PVC DN 200 
(Způsob napojení bude upřesněn po odhalení stáv. potrubí)</t>
  </si>
  <si>
    <t xml:space="preserve">Montáž nalepovací odbočné tvarovky na potrubí z kanalizačních trub z PVC DN 200
</t>
  </si>
  <si>
    <t xml:space="preserve">Montáž tvarovek z tvrdého PVC-systém KG nebo z polypropylenu-systém KG 2000 jednoosé DN 200Plastové koleno DN200/45°
</t>
  </si>
  <si>
    <t>Kanalizační přípojka potrubí KG 2000  SN10</t>
  </si>
  <si>
    <t>PC</t>
  </si>
  <si>
    <t xml:space="preserve">dodávka kolena dn200/45 </t>
  </si>
  <si>
    <t>dodávka kolena dn200/15</t>
  </si>
  <si>
    <t>pc</t>
  </si>
  <si>
    <t>dodávka potrubí DN200 KG200</t>
  </si>
  <si>
    <t>Betonový základ pro revizní šachtu C16/20 včetně bednění a odbednění, výměra: cca 1,310*1,310*0,15</t>
  </si>
  <si>
    <t>KGR 200/150</t>
  </si>
  <si>
    <t>Potrubí kanalizační z PP odpadní DN 160</t>
  </si>
  <si>
    <t>Potrubí kanalizační z PP odpadní DN 125</t>
  </si>
  <si>
    <t>Potrubí kanalizační z PP odpadní DN 110</t>
  </si>
  <si>
    <t>Potrubí kanalizační z PP svodné DN 75</t>
  </si>
  <si>
    <t>Potrubí kanalizační z PP připojovací DN 50</t>
  </si>
  <si>
    <t>dodávka  - DN 150</t>
  </si>
  <si>
    <t>dodávka  - DN 125</t>
  </si>
  <si>
    <t>dodávka  - DN 110</t>
  </si>
  <si>
    <t>dodávka  - DN 50</t>
  </si>
  <si>
    <t>KGR  150/110</t>
  </si>
  <si>
    <t>KG Klapka 150</t>
  </si>
  <si>
    <t>KGEA 125/110</t>
  </si>
  <si>
    <t>KGR 160/125</t>
  </si>
  <si>
    <t>KGEA 125/125</t>
  </si>
  <si>
    <t>KGR 125/110</t>
  </si>
  <si>
    <t>Revizní šachta pod podlahou vel. 600x600mm, hl. cca 1200mm s poklopem v interiéru</t>
  </si>
  <si>
    <t>HL900</t>
  </si>
  <si>
    <t>Větrací hlavice nad střechou, typ dle výběru architekta</t>
  </si>
  <si>
    <t>Podlahová vpust - DN50, výškově stavitelná, zápachový uzávěr, nerez rámeček, a mřížka 121x 121mm</t>
  </si>
  <si>
    <t>Revizní dvířka pro čistící kus vel. 300x150mm (povrch dle povrchu místnosti), pro pozice 1,2,3</t>
  </si>
  <si>
    <t>Zkouška těsnosti potrubí kanalizace vodou do DN 125</t>
  </si>
  <si>
    <t>výměra: cca 1,0*2,5*3,5</t>
  </si>
  <si>
    <r>
      <t>Vodorovné přemístění do 10000m výkopku</t>
    </r>
    <r>
      <rPr>
        <sz val="9"/>
        <rFont val="Arial"/>
        <family val="2"/>
        <charset val="238"/>
      </rPr>
      <t>/sypaniny z</t>
    </r>
    <r>
      <rPr>
        <b/>
        <sz val="9"/>
        <rFont val="Arial"/>
        <family val="2"/>
        <charset val="238"/>
      </rPr>
      <t xml:space="preserve"> </t>
    </r>
    <r>
      <rPr>
        <sz val="9"/>
        <rFont val="Arial"/>
        <family val="2"/>
        <charset val="238"/>
      </rPr>
      <t>horniny třídy těžitelnosti II,skupiny 4+5 (navážka)</t>
    </r>
  </si>
  <si>
    <r>
      <rPr>
        <b/>
        <sz val="9"/>
        <rFont val="Arial"/>
        <family val="2"/>
        <charset val="238"/>
      </rPr>
      <t>Poplatek za uložení zeminy a kamení na recyklační skládce (skládkovné) kód odpadu 17 05 04</t>
    </r>
    <r>
      <rPr>
        <sz val="9"/>
        <rFont val="Arial"/>
        <family val="2"/>
        <charset val="238"/>
      </rPr>
      <t xml:space="preserve"> </t>
    </r>
  </si>
  <si>
    <r>
      <rPr>
        <b/>
        <sz val="9"/>
        <rFont val="Arial"/>
        <family val="2"/>
        <charset val="238"/>
      </rPr>
      <t xml:space="preserve">Úprava pláně </t>
    </r>
    <r>
      <rPr>
        <sz val="9"/>
        <rFont val="Arial"/>
        <family val="2"/>
        <charset val="238"/>
      </rPr>
      <t>v hornině třídy těžitelnosti II, skupiny 1 až 3 se zhutněním strojně, výměra:  cca 12m*0,80</t>
    </r>
  </si>
  <si>
    <r>
      <rPr>
        <b/>
        <sz val="9"/>
        <rFont val="Arial"/>
        <family val="2"/>
        <charset val="238"/>
      </rPr>
      <t xml:space="preserve">Lože pod potrubí, </t>
    </r>
    <r>
      <rPr>
        <sz val="9"/>
        <rFont val="Arial"/>
        <family val="2"/>
        <charset val="238"/>
      </rPr>
      <t>stoky a drobné objekty v otevřeném výkopu z písku a štěrkopísku do 63mm po hutnění 100-150mm (včetně materiálu)</t>
    </r>
  </si>
  <si>
    <t>Zhutněná štěrkopísková spodní vrstva (lože podsyp), tl. 150mm, výměra: cca 10*0,80*0,15+1,0*2,5*0,15</t>
  </si>
  <si>
    <t xml:space="preserve">Hutněný obsyp potrubí, směs písku, míra zhutnění dle předpisu výrobce potrubí (včetně materiálu), </t>
  </si>
  <si>
    <t>Zásyp potrubí v účinné vrstvě, písek, tl. 300mm, Násyp a hutnění se provádí po vrstvách, vždy po obou stranách trubky. Hutní se ručně nebo lehkými strojními dusadly, nehutní se nad vrcholem trubky. Je třeba dodržet předepsaný minimální stupeň hutnění: Většinou platí pro nesoudržné zeminy D Pr = 95%, , výměra: cca 10*0,80*0,30+1,0*2,5*0,3</t>
  </si>
  <si>
    <r>
      <rPr>
        <b/>
        <sz val="9"/>
        <rFont val="Arial"/>
        <family val="2"/>
        <charset val="238"/>
      </rPr>
      <t>Zásyp jam</t>
    </r>
    <r>
      <rPr>
        <sz val="9"/>
        <rFont val="Arial"/>
        <family val="2"/>
        <charset val="238"/>
      </rPr>
      <t>, šachet rýh nebo kolem objektů sypaninou se zhutněním</t>
    </r>
  </si>
  <si>
    <t>Hlavní násyp pro uložení kanalizačního potrubí , materiál dle PD, hutněný po vrstvách, výměra:  cca 1,0m*2,5*3,05</t>
  </si>
  <si>
    <t>58337344</t>
  </si>
  <si>
    <t>Štěrkopísek frakce 0-32 (kamenivo přírodní těžené pro stavební účely  PTK  (drobné, hrubé, štěrkopísky) štěrkopísky ČSN 72  1511-2 frakce   0-32  (výměra: cca  1,0m*2,5*3,05*2,054))</t>
  </si>
  <si>
    <t>Stavební přípomoce</t>
  </si>
  <si>
    <t>Zkouška těsnosti do DN125, výměra: cca  5,11m+1,05m(výlevka)+ 1,325m (umyvadla)+10,70m(odvětráno nad střechu)+0,70m(wc+0,50m(wc)+9,1</t>
  </si>
  <si>
    <t>Zkouška těsnosti do DN200, výměra:cca 2,69m</t>
  </si>
  <si>
    <t>Kontrola vodotěsnosti</t>
  </si>
  <si>
    <t>Kontrola průtočnosti</t>
  </si>
  <si>
    <t>Kontrola skutečného provedení</t>
  </si>
  <si>
    <t>Vodovod</t>
  </si>
  <si>
    <t>28613850/P +montáž</t>
  </si>
  <si>
    <r>
      <rPr>
        <b/>
        <sz val="9"/>
        <rFont val="Arial"/>
        <family val="2"/>
        <charset val="238"/>
      </rPr>
      <t>Propojení ke kapli,</t>
    </r>
    <r>
      <rPr>
        <sz val="9"/>
        <rFont val="Arial"/>
        <family val="2"/>
        <charset val="238"/>
      </rPr>
      <t xml:space="preserve"> PE100 SDR11 PN16 32x3,0mm, výměra: cca 12,1m (část již vedena viz. projekt "Náměstí Běchovice),  koordinace s projektem "Náměstí Běchovice", dodávka+ montáž - kompletní provedení.</t>
    </r>
  </si>
  <si>
    <t>Výměra: cca 12,1m*0,80*1,50</t>
  </si>
  <si>
    <r>
      <rPr>
        <b/>
        <sz val="9"/>
        <rFont val="Arial"/>
        <family val="2"/>
        <charset val="238"/>
      </rPr>
      <t xml:space="preserve">Úprava pláně </t>
    </r>
    <r>
      <rPr>
        <sz val="9"/>
        <rFont val="Arial"/>
        <family val="2"/>
        <charset val="238"/>
      </rPr>
      <t>v hornině třídy těžitelnosti II, skupiny 1 až 3 se zhutněním strojně, výměra:  cca 12,1m*0,80</t>
    </r>
  </si>
  <si>
    <t>výměra: cca 12,1m*0,80*0,15</t>
  </si>
  <si>
    <t xml:space="preserve"> - pískový obsyp</t>
  </si>
  <si>
    <t>Obsyp vhodnou zeminou pro uložení vodovodního potrubí PE100 SDR11 PN 16 32x3,0mm, písek, násyp a hutnění po obou stranách trubky po vrstvách dle PD, výměra: cca 12,1m*0,80*0,35</t>
  </si>
  <si>
    <t>Hlavní násyp pro uložení vodovodního potrubí PE100 SDR11 PN 16 32x3,0mm, materiál dle PD, hutněný po vrstvách, výměra:  cca 12,1m*0,80*1,0</t>
  </si>
  <si>
    <t xml:space="preserve">Štěrkopísek frakce 0-32 (kamenivo přírodní těžené pro stavební účely  PTK  (drobné, hrubé, štěrkopísky) štěrkopísky ČSN 72  1511-2 frakce   0-32 , kamenivo přírodní těžené pro stavební účely  PTK  (drobné, hrubé, štěrkopísky) štěrkopísky ČSN 72  1511-2 frakce   0-32 </t>
  </si>
  <si>
    <t>Hlavní uzávěr v objektu KK DN32</t>
  </si>
  <si>
    <t>Elektrický zásobníkový ohřívač TV 15l (tlakový), včetně zpětné klapky filtru a pojišťovací armatury, uzavírací kulové kohouty  s vypouštěním, pojistný ventil, filtr, zpětná klapka, zapojeno podle dokumentace dodané se zařízením</t>
  </si>
  <si>
    <t>Trubky vodovodní plastové (izol. dle ČSN 736660) -SV, včetně kolínek, včetně příslušenství, kompletní provedení</t>
  </si>
  <si>
    <t>Potrubí vodovodní plastové PPR svar polyfúze PN 20 D 32x5,4 mm</t>
  </si>
  <si>
    <t>Potrubí vodovodní plastové PPR svar polyfúze PN 20 D 20x3,4 mm</t>
  </si>
  <si>
    <t>Kulový uzávěr na potrubí s odvodněním</t>
  </si>
  <si>
    <t>Umyvadlová baterie stojánková s výpustí 1.1/4", viz.  příloha Tabulka ostatních prvků D.1.12.1.19"</t>
  </si>
  <si>
    <t xml:space="preserve">Rohový ventil T66 - 1/2" (s vnějším závitem 3/8", přívod 1/2") </t>
  </si>
  <si>
    <t xml:space="preserve">1x pračkový ventil - 1/2" (s vnějším závitem 3/4", přívod 1/2") </t>
  </si>
  <si>
    <t>Výlevková baterie s otáčivým ústím a dl. ramínka 300 mm (přívod 2x 1/2") ,  viz.  příloha Tabulka ostatních prvků D.1.12.1.19"</t>
  </si>
  <si>
    <r>
      <rPr>
        <b/>
        <sz val="9"/>
        <rFont val="Arial"/>
        <family val="2"/>
        <charset val="238"/>
      </rPr>
      <t xml:space="preserve">Souběh a křížení </t>
    </r>
    <r>
      <rPr>
        <sz val="9"/>
        <rFont val="Arial"/>
        <family val="2"/>
        <charset val="238"/>
      </rPr>
      <t>s ostatními inženýrskými sítěmi se bude řídit ČSN 736005 a požadavky správců těchto sítí, dodávka+ montáž - kompletní provedení</t>
    </r>
  </si>
  <si>
    <r>
      <rPr>
        <b/>
        <sz val="9"/>
        <rFont val="Arial"/>
        <family val="2"/>
        <charset val="238"/>
      </rPr>
      <t>Signalizační </t>
    </r>
    <r>
      <rPr>
        <sz val="9"/>
        <rFont val="Arial"/>
        <family val="2"/>
        <charset val="238"/>
      </rPr>
      <t>vodič DN do 150 mm na potrubí , dodávka montáž - kompletní provedení</t>
    </r>
  </si>
  <si>
    <r>
      <rPr>
        <b/>
        <sz val="9"/>
        <rFont val="Arial"/>
        <family val="2"/>
        <charset val="238"/>
      </rPr>
      <t>Krytí potrubí</t>
    </r>
    <r>
      <rPr>
        <sz val="9"/>
        <rFont val="Arial"/>
        <family val="2"/>
        <charset val="238"/>
      </rPr>
      <t xml:space="preserve"> z plastů výstražnou fólií z PVC 40cm</t>
    </r>
  </si>
  <si>
    <t>Výstražná folie bílé barvy, uložená 0,40 m nad potrubím, výměra: cca 12,1m</t>
  </si>
  <si>
    <t>Ochrana vodovodního potrubí přilepenými termoizolačními trubicemi z PE tl do 6 mm DN do 22 mm</t>
  </si>
  <si>
    <t>Tlaková zkouška vodou potrubí, výměra: cca 12,1+1,50+ (1,50+1,50+3,5+3,5+0,5+0,5*8+2)+ (3,50+0,50+0,50+0,50*4+2)</t>
  </si>
  <si>
    <t>Protokol o tlakové zkoušce</t>
  </si>
  <si>
    <t>Proplach vodovodního potrubí, výměra: cca 12,1+1,50+ (1,50+1,50+3,5+3,5+0,5+0,5*8+2)+ (3,50+0,50+0,50+0,50*4+2)bm</t>
  </si>
  <si>
    <t>Dtto, avšak dezinfekce, výměra:  cca 12,1+1,50+ (1,50+1,50+3,5+3,5+0,5+0,5*8+2)+ (3,50+0,50+0,50+0,50*4+2)bm</t>
  </si>
  <si>
    <t>Dtto, avšak vyčištění a odvzdušnění, výměra:  cca 12,1+1,50+ (1,50+1,50+3,5+3,5+0,5+0,5*8+2)+ (3,50+0,50+0,50+0,50*4+2)bm</t>
  </si>
  <si>
    <t>Zkouška těsnosti potrubí dle ČSN 756909, výměra: cca 12,1+1,50+ (1,50+1,50+3,5+3,5+0,5+0,5*8+2)+ (3,50+0,50+0,50+0,50*4+2)</t>
  </si>
  <si>
    <t>Dešťová kanalizace</t>
  </si>
  <si>
    <t>Potrubí kanalizační z PE dešťové DN 150</t>
  </si>
  <si>
    <t>Lapač nečistot, kompletní provedení</t>
  </si>
  <si>
    <t xml:space="preserve">Napojení do revizní šachty na dešť. kanalizaci (akumulační nádrž na dešťovou vodu), viz projekt "Náměstí Běchovice", vodotěsný průchod konstrukcemi s chráničkou, koordinace s projektem "Náměstí Běchovice"
</t>
  </si>
  <si>
    <t xml:space="preserve">Napojeno do revizní šachty na dešť. Kanalizaci viz projekt "Náměstí Běchovice", vodotěsný průchod konstrukcemi s chráničkou, koordinace s projektem "Náměstí Běchovice"
</t>
  </si>
  <si>
    <t xml:space="preserve"> Napojení ležatého svodu na svislý svod  přes lapač nečistot, kompletní provedení - 2ks</t>
  </si>
  <si>
    <t>Výkop pro dešťovou kanalizaci potrubí DN150-KG2000 PP  SN10 v navážce,</t>
  </si>
  <si>
    <t>výměra: cca (26,0+9,50)*0,8*1,20</t>
  </si>
  <si>
    <r>
      <rPr>
        <b/>
        <sz val="9"/>
        <rFont val="Arial"/>
        <family val="2"/>
        <charset val="238"/>
      </rPr>
      <t xml:space="preserve">Úprava pláně </t>
    </r>
    <r>
      <rPr>
        <sz val="9"/>
        <rFont val="Arial"/>
        <family val="2"/>
        <charset val="238"/>
      </rPr>
      <t>v hornině třídy těžitelnosti II, skupiny 1 až 3 se zhutněním strojně, výměra:  cca (26,0m+9,50)*0,80</t>
    </r>
  </si>
  <si>
    <t>Zhutněná štěrkopísková spodní vrstva (lože podsyp), tl. 150mm, výměra: cca (26,0+9,50)*0,80*0,15</t>
  </si>
  <si>
    <t>Zásyp potrubí v účinné vrstvě, písek, tl. 300mm, Násyp a hutnění se provádí po vrstvách, vždy po obou stranách trubky. Hutní se ručně nebo lehkými strojními dusadly, nehutní se nad vrcholem trubky. Je třeba dodržet předepsaný minimální stupeň hutnění: Většinou platí pro nesoudržné zeminy D Pr = 95%, výměra: cca(26,0+9,50)*0,80*0,30</t>
  </si>
  <si>
    <r>
      <rPr>
        <b/>
        <sz val="9"/>
        <rFont val="Arial"/>
        <family val="2"/>
        <charset val="238"/>
      </rPr>
      <t>Zásyp jam</t>
    </r>
    <r>
      <rPr>
        <sz val="9"/>
        <rFont val="Arial"/>
        <family val="2"/>
        <charset val="238"/>
      </rPr>
      <t>, šachet rýh nebo kolem objektů sypaninou se zhutněním (Hlavní násyp pro uložení kanalizačního potrubí , materiál dle PD, hutněný po vrstvách, výměra:  cca (26,0+9,50)m*0,8*0,75)</t>
    </r>
  </si>
  <si>
    <t>Štěrkopísek frakce 0-32 (kamenivo přírodní těžené pro stavební účely  PTK  (drobné, hrubé, štěrkopísky) štěrkopísky ČSN 72  1511-2 frakce   0-32, výměra: cca  26m*0,8*1,2*2,054</t>
  </si>
  <si>
    <t>Zkouška těsnosti potrubí dle ČSN 756909, výměra: cca 26,0+9,50</t>
  </si>
  <si>
    <t>Osvětlení</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</si>
  <si>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</si>
  <si>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</si>
  <si>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</si>
  <si>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</si>
  <si>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</si>
  <si>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</si>
  <si>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</si>
  <si>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</si>
  <si>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</si>
  <si>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</si>
  <si>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</si>
  <si>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</si>
  <si>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</si>
  <si>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</si>
  <si>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</si>
  <si>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</si>
  <si>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</si>
  <si>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</si>
  <si>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</si>
  <si>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</si>
  <si>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</si>
  <si>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</si>
  <si>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</si>
  <si>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</si>
  <si>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</si>
  <si>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</si>
  <si>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</si>
  <si>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</si>
  <si>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30</t>
  </si>
  <si>
    <t>31</t>
  </si>
  <si>
    <t>32</t>
  </si>
  <si>
    <t>D</t>
  </si>
  <si>
    <t>A1- stropní zápustné rámečkové kruhové LED svítidlo 300mA/DC, 15W / 927, 900 lm, WFL (56°), IP20, III, F, L80B10=50 000hod., bílé</t>
  </si>
  <si>
    <t>A2 - stropní přisazené kruhové LED svítidlo s rozptylným krytem 230V/50Hz, 50W/827, 4 000 lm, IP20, d=500mm, L80=50 000hod, bílé</t>
  </si>
  <si>
    <t>A3 - nástěnné přisazené válcové LED svítidlo U/D (50%/50%), 230V/50Hz, 15W/ 827, 1 200lm, IP40, L80=50 000hod., antracitové</t>
  </si>
  <si>
    <t>A4 - stropní zápustné rámečkové kruhové LED svítidlo 300mA/DC, 15W / 927, 900 lm, WFL (56°), IP20, III, F, L80B10=50 000hod., vč. mont. pouzdra do betonu, bílé</t>
  </si>
  <si>
    <t>A5 - vestavné bezrámečkové obdélníkové LED svítidlo 230V/50Hz, 30W/927, 1300 lm, M (24°), IP20, DALI, L80B10=50 000hod., zlato/mosaz</t>
  </si>
  <si>
    <t>A6 - věčné LED světlo 230V/50Hz, E27, 25W/922, Tcp = 2200 K, 60 lm, stmívatelné, IP20, I, F, čiré</t>
  </si>
  <si>
    <t>C1 - podhledový rámečkový kruhový výklopný LED světlomet 300mA/DC, 15W / 9270, I0=3 500 cd, M(26°), IP20, III, L80B10=50 000 hod., vč. mont. pouzdra do betonu, bílý</t>
  </si>
  <si>
    <t>C2 - podhledový rámečkový kruhový výklopný LED světlomet 300mA/DC, 15W / 9270, I0=5 500 cd, S(16°), IP20, III, L80B10=50 000 hod., vč. mont. pouzdra do betonu, bílý</t>
  </si>
  <si>
    <t>H0 - sloupkové LED svítidlo 230V/50Hz, 15W/830, 500lm, SM,IP66, IK10, hmax=700mm, ULR ≤ 1%, L80B50=50 000 hod., vč. montážní kotvy, rezavě hnědá</t>
  </si>
  <si>
    <t xml:space="preserve">H1 - směrovatelný zemní LED světlomet 230V/AC, 10W/823, 2300K (filtr), I0=10 000 cd, S(10°), IP66, IK10, vč. mont. pouzdra, barva nerez. </t>
  </si>
  <si>
    <t>H2 - venkovní  bodový přísazený LED světlomet 230V/50Hz, 30W, RGB, I0=5000cd, S/WFL (12°/54°), DMX-RDM, IP66, IK07, L80B10=50 000hod., bílý</t>
  </si>
  <si>
    <t>R1 – napájecí proudový zdroj 230VAC/300mADC, 15W, volná montáž, IP20, MM, DALI</t>
  </si>
  <si>
    <t>D+M</t>
  </si>
  <si>
    <t>P1 – napájecí zdroj DALI sběrnice 230V/50Hz, 240 mA, DIN, 0°+45°C</t>
  </si>
  <si>
    <t>P2 – DALI relé, spínané napětí 230V/AC, 2kVA, 16 A, 1 adresa, DIN, 0°+40°C</t>
  </si>
  <si>
    <t>P3 – napájecí napěťový zdroj 230VAC/48VDC, 70W, DIN, IP20</t>
  </si>
  <si>
    <t>P4– Ethernet switch 48V/DC, 70W, 4xPoE, 1xEthernet, 10/100 Mbps, DIN, IP20</t>
  </si>
  <si>
    <t>P5 – převodník DALI/Ethernet, PoE, 2W, 1 DALI linka, DIN, protokol TCP/IP, rychlost 10/100M, IP20</t>
  </si>
  <si>
    <t>P6 – řídicí jednotka DMX 24VDC/PoE, 15W, web server, 1 DMX linka, RTC, Ethernet, DIN, IP20</t>
  </si>
  <si>
    <t>P7– nástěnný WIFI router, PoE 15W, 2,4 / 5,0 GHz, Ethernet 10/100 Mbps, RJ45, IP20, barva černá</t>
  </si>
  <si>
    <t>P8 – dotykový nástěnný panel, PoE, 10W, 10,0" , 1280x800pxl., 300 cd/m2, 800:1, šedý, IP20</t>
  </si>
  <si>
    <t>P9 – tlačítko řídicího systému osvětlení</t>
  </si>
  <si>
    <t>M</t>
  </si>
  <si>
    <t>instalace montážního pouzdra do betonového stropu pro svítidla A4, C1 a C2</t>
  </si>
  <si>
    <t>instalace montážního pouzdra do betonové podlahy pro svítidla H1</t>
  </si>
  <si>
    <t>instalace montážní kotvy pro svítidla H0</t>
  </si>
  <si>
    <t>vyřezání otvoru do SDK pro instalaci svítidla A1</t>
  </si>
  <si>
    <t>instalace svítidel</t>
  </si>
  <si>
    <t>instalace předřadných přístrojů</t>
  </si>
  <si>
    <t>licence pro web server</t>
  </si>
  <si>
    <t xml:space="preserve">programování řídicího systému </t>
  </si>
  <si>
    <t>nasměrování světlometů a nastavení světelných scén</t>
  </si>
  <si>
    <t>kpl</t>
  </si>
  <si>
    <t>dokumentace skutečného provedení</t>
  </si>
  <si>
    <t>revize</t>
  </si>
  <si>
    <t>instalace ovládacích prvků řídícího systému osvětlrní do rozvaděče P2, P3, P4,P5</t>
  </si>
  <si>
    <t>instalace  ovládacích prvků řídícího systému osvětlrní P8, P9</t>
  </si>
  <si>
    <t>instalace wifi router</t>
  </si>
  <si>
    <t>stavební přípomoce</t>
  </si>
  <si>
    <t>realizační dokumemtace</t>
  </si>
  <si>
    <t>Vzduchotechnika a vytápění</t>
  </si>
  <si>
    <t>ZŘÍZENÍ</t>
  </si>
  <si>
    <t>1.1.1</t>
  </si>
  <si>
    <t>Kompaktní vzduchotechnická jednotka, včetně externích servoklapek. Podrobnosti viz datový list přílohou technické zprávy. Kompletní provedení včetně montáže, ref. v. Topvex TR06EL-L-CAV</t>
  </si>
  <si>
    <t>kpl.</t>
  </si>
  <si>
    <t>1.4.1</t>
  </si>
  <si>
    <t>Jádrový tlumič hluku do čtyřhranného potrubí 500x200 mm, délka 2000 mm. Podrobnosti viz datový list přílohou technické zprávy. Kompletní provedení včetně montáže, ref. v. Stavoklima JTH</t>
  </si>
  <si>
    <t>1.4.2</t>
  </si>
  <si>
    <t>Jádrový tlumič hluku do čtyřhranného potrubí 500x200 mm, délka 1000 mm. Podrobnosti viz datový list přílohou technické zprávy. Kompletní provedení včetně montáže,  ref.  v. Stavoklima JTH</t>
  </si>
  <si>
    <t>DISTRIBUČNÍ PRVKY</t>
  </si>
  <si>
    <t>1.6.1</t>
  </si>
  <si>
    <t>Střešní sací/výfuková kruhová žaluziová hlavice průměru 560 mm (připojovací průměr 400 mm). Povrchová úprava dle dohody s architektem. Kompletní provedení včetně montáže, ref. v. Lindab VHL</t>
  </si>
  <si>
    <t>1.6.2</t>
  </si>
  <si>
    <t>Podlahová vyúsť, hliníková. Povrchová úprava dle dohody s architektem. Kompletní provedení včetně montáže, ref. v. Trox FBA 150</t>
  </si>
  <si>
    <t>1.6.3</t>
  </si>
  <si>
    <t>Talířový ventil pro přívod vzduchu, vč. montážního rámu. Průměr 100 mm. Povrchová úprava dle dohody s architektem. Kompletní provedení včetně montáže, ref.v. Trox Z-LVS 100</t>
  </si>
  <si>
    <t>1.6.4</t>
  </si>
  <si>
    <t>Talířový ventil pro odvod vzduchu, vč. montážního rámu. Průměr 125 mm. Povrchová úprava dle dohody s architektem. Kompletní provedení včetně montáže, ref. v. Trox LVS 125</t>
  </si>
  <si>
    <t>1.6.5</t>
  </si>
  <si>
    <t>Hliníková vyústka dvouřadá s nastavitelnými lamelami (přední řada rovnoběžně s delší stranou), s regulační sadou DG (protiběžné listy), vč. upevňovacího rámečku do potrubí, montáž pomocí pérových svorek. Povrchová úprava dle dohody s architektem. Kompletní provedení včetně montáže,  ref. v. Trox ASL 225x125</t>
  </si>
  <si>
    <t>1.6.6</t>
  </si>
  <si>
    <t>Hliníková vyústka jednořadá s nastavitelnými lamelami (rovnoběžně s delší stranou), s regulační sadou AG (protiběžné listy), vč. upevňovacího rámečku do stěny, montáž pomocí pérových svorek. Povrchová úprava dle dohody s architektem. Kompletní provedení včetně montáže, ref. v. Trox ASL 225x125</t>
  </si>
  <si>
    <t>1.6.7</t>
  </si>
  <si>
    <t>Hliníková vyústka jednořadá s nastavitelnými lamelami (rovnoběžně s delší stranou), s regulační sadou AG (protiběžné listy), vč. upevňovacího rámečku do stěny, montáž pomocí pérových svorek. Povrchová úprava dle dohody s architektem. Kompletní provedení včetně montáže, ref. v. Trox ASL 425x325</t>
  </si>
  <si>
    <t>POTRUBÍ A IZOLACE</t>
  </si>
  <si>
    <t>Potrubí čtyřhranné z pozinkovaného plechu, včetně tvarovek. Kompletní provedení včetně montáže</t>
  </si>
  <si>
    <t>Spiro potrubí z pozinkovaného plechu, včetně tvarovek, DN 100. Kompletní provedení včetně montáže</t>
  </si>
  <si>
    <t>Spiro potrubí z pozinkovaného plechu, včetně tvarovek, DN 125. Kompletní provedení včetně montáže</t>
  </si>
  <si>
    <t>Ohebné flexo potrubí z hliníkové fóie, vyztužené spirálově stáčeným ocelovým  drátem, DN 100. Kompletní provedení včetně montáže</t>
  </si>
  <si>
    <t>Ohebné flexo potrubí z hliníkové fóie, vyztužené spirálově stáčeným ocelovým  drátem, DN 150. Kompletní provedení včetně montáže</t>
  </si>
  <si>
    <t>Parotěsná tepelná izolace z umělého kaučuku tl. 20 mm s polepem ochrannou fólií. Kompletní provedení včetně montáže, ref. v. K-Flex H Duct Metal</t>
  </si>
  <si>
    <t>V dodávce potrubí a izolací se předpokládá i veškeré uložení, zavěšení a uchycení potrubí, potřebný pomocný materiál - závitové tyče, objímky, výstelky, nerezavějící šrouby a matice, podložky, hmoždinky, ocelové profily, pájecí, svářecí, lepící a jiný pomocný materiál, kolena, tvarovky, návarky, jímky, příruby, těsnění, tmelení, apod. Kompletní provedení včetně montáže</t>
  </si>
  <si>
    <t>SPOLEČNÉ</t>
  </si>
  <si>
    <t xml:space="preserve">Veškerá doprava na staveniště a po staveništi, včetně dopravy svislé uvnitř budovy do výšky 10 m. Kompletní provedení </t>
  </si>
  <si>
    <t>Opatření k zajištění bezpečnosti práce dle příslušných právních předpisů. Kompletní provedení</t>
  </si>
  <si>
    <t>Opatření na ochranu dodávaného zařízení před negativními vlivy počasí, např. deště, teploty apod. Kompletní provedení</t>
  </si>
  <si>
    <t>Zakrytí (nebo jiné zajištění) a ochrana stavby a ostatních instalací TZB před znečištěním a poškozením a odstranění zakrytí. Kompletní provedení</t>
  </si>
  <si>
    <t>Zaregulování systémů, vč. měření dosažení požadovaných průtoků. Kompletní provedení</t>
  </si>
  <si>
    <t>Provozní zkoušky pro ověření správné funkce. Kompletní provedení</t>
  </si>
  <si>
    <t>Zaškolení obsluhy. Kompletní provedení</t>
  </si>
  <si>
    <t>Vyklizení pracoviště a staveniště, odvoz zbytků materiálu a odpadů, včetně případných souvisejících nákladů s jejich likvidací. Kompletní provedení</t>
  </si>
  <si>
    <t>Vypracování odevzdávací dokumentace v rozsahu popsaném v technické zprávě. Kompletní provedení</t>
  </si>
  <si>
    <t>Vlasní položky (dodavatel vypíše ve zvláštní příloze)</t>
  </si>
  <si>
    <t xml:space="preserve">Specifikace ostatních výrobků </t>
  </si>
  <si>
    <t>Výplně otvorů - okna viz. D.1.12.1.15</t>
  </si>
  <si>
    <t>Poznámka všeobecně : Dodávka bude zhotovena na základě realizační a dílenské dokumentace zhotovitele, který bude odsouhlasen architektem - budou zahrnuty veškeré materiály včetně parotěsných pásek, kování a kotvení (akceptace řešení zhotovitele architektem nezbaví zhotovitele zodpovědnosti plynoucí ze záruk za výrobek, výrobních vlastností dodávky a bezvadnou funkčnost výrobku jako celku).  Podrobnosti viz dokumentace. Kompletní provedení včetně montáže, kotvení, pomocného materiálu, mechanizace, dopravy a zaměření.</t>
  </si>
  <si>
    <t>O1</t>
  </si>
  <si>
    <t>O2</t>
  </si>
  <si>
    <t>Okno pevné se skrytými obvodovými rámy, vel. cca š. 955mm x v. 5160mm, rám dřevěný, dřevina dub, přírodní olej. Barva okapnice: RAL 7016 antracitová šedá matná. Těsnění:  hnědé. Silikon: černý. Distanční rámeček (mezi sklem): tmavě hnědý. Výplň: čiré, izolační trojsklo, ESG 10/16/8/16/VSG66.2LE1.1, 
Ug: 0.60 W/m2K.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Dodavatel předloží výrobní dokumentaci ke schválení architektovi stavby před započetím výroby. Rozměry nutno ověřit na stavbě. Podrobnosti viz dokumentace. Kompletní provedení.</t>
  </si>
  <si>
    <t>O3</t>
  </si>
  <si>
    <t>Okno pevné se skrytým obvodovým rámem - tvar kříže, svislá část - vel.  cca  š. 320 mm x v. 8555mm, vodorovná část -  vel.  cca  v. (320 mm x š. 1475mm) x 2ks,  rám dřevěný, dřevina dub, přírodní olej. Barva okapnice: RAL 7016 antracitová šedá matná. Těsnění:  hnědé. Silikon: černý. Distanční rámeček (mezi sklem): tmavě hnědý. Výplň: čiré, izolační trojsklo, ESG 8/16/8/16/VSG66.2LE1.1, 
Ug: 0.60 W/m2K. Stropní části: izolační sendvičová deska, z exteriéru obloženo včetně rámu smaltem na skle - barva RAL 7016 antracitová šedá.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V 1.np bez vnitřního parapetu. V 1.pp s vnitřním parapetem: dubový parapet , tloušťka 20 mm + nos na 40 mm, přírodní olej.
Dodavatel předloží výrobní dokumentaci ke schválení architektovi stavby před započetím výroby.
Rozměry nutno ověřit na stavbě. Podrobnosti viz dokumentace. Kompletní provedení.</t>
  </si>
  <si>
    <t>O4</t>
  </si>
  <si>
    <t>Okno pevné se skrytými obvodovými rámy,  vel. cca š. 955mm x v. 5160mm a vel. cca š. 955mm x v. 1000mm, rám dřevěný, dřevina dub, přírodní olej. Barva okapnice: RAL 7016 antracitová šedá matná.  Těsnění:  hnědé. Silikon: černý.  Distanční rámeček (mezi sklem): tmavě hnědý. Výplň: čiré, izolační trojsklo, ESG 10/16/8/16/VSG66.2LE1.1, Ug: 0.60 W/m2K. Stropní část: vel. cca š. 955mm x v. 340mm, izolační sendvičová deska, z exteriéru obloženo včetně rámu smaltem na skle - barva RAL 7016 antracitová šedá.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V 1.np bez vnitřního parapetu - navazuje na podlahu
V 1.pp s vnitřním parapetem: dubový parapet , tloušťka 20 mm + nos na 40 mm, přírodní olej
Dodavatel předloží výrobní dokumentaci ke schválení architektovi stavby před započetím výroby.
Rozměry nutno ověřit na stavbě. Podrobnosti viz dokumentace. Kompletní provedení.</t>
  </si>
  <si>
    <t>O5</t>
  </si>
  <si>
    <t>2x otvíravé / výklopné okno se sloupkem, vel. cca š. 1830mm x v. 790mm, rám dřevohliníkový, dřevina dub, přírodní olej, z exteriéru hliníkový v barvě RAL 7016 antracitová šedá matná.  Těsnění:  hnědé. 
Silikon: černý. Distanční rámeček (mezi sklem): tmavě hnědý. Výplň: čiré, izolační trojsklo, F4/16/LE4/16/LE4, Ug: 0.60 W/m2K.  Bezfalcové provedení. Vnitřní parapet: dubový parapet, tloušťka 20 mm + nos na 40 mm, přírodní olej. Kování: povrch černý matný, rukojeť masivní zahnutá trubka ∅ 15 mm, masivní rozeta kruhový tvar.
Dodavatel předloží výrobní dokumentaci ke schválení architektovi stavby před započetím výroby. Rozměry nutno ověřit na stavbě. Podrobnosti viz dokumentace. Kompletní provedení.</t>
  </si>
  <si>
    <t>O6</t>
  </si>
  <si>
    <t>3x okno pevné se skrytými obvodovými rámy s rohovým napojením, vel. cca dl. (2095mm x 2ks + 2865mm) x v. 1120mm včetně rohů,  rám dřevěný, dřevina dub, přírodní olej. Barva okapnice: RAL 7016 antracitová šedá matná. Těsnění:  hnědé. Silikon: černý. Distanční rámeček (mezi sklem): tmavě hnědý.  SKLO: čiré, izolační trojsklo, ESG 6/16/LE6/16/LE6, Ug: 0.60 W/m2K. V místě překryvu se sloupy : izolační sendvičová deska, z exteriéru obloženo včetně rámu smaltem na skle - barva RAL 7016 antracitová šedá. Vnitřní parapet: dubový parapet, tloušťka 20 mm + nos na 40 mm, přírodní olej. 
Dodavatel předloží výrobní dokumentaci ke schválení architektovi stavby před započetím výroby. Rozměry nutno ověřit na stavbě.  Podrobnosti viz dokumentace. Kompletní provedení.</t>
  </si>
  <si>
    <t>O7</t>
  </si>
  <si>
    <t>Otvíravé / výklopné okno, vel. cca dl. 1230mm x v. 1170mm, rám dřevohliníkový, dřevina dub, přírodní olej, z exteriéru hliníkový v barvě RAL 7016 antracitová šedá matná. Těsnění:  hnědé. Silikon: černý. Distanční rámeček (mezi sklem): tmavě hnědý. Výplň: čiré, izolační trojsklo, F4/16/LE4/16/LE4, Ug: 0.60 W/m2K.  Bezfalcové provedení. 
Vnitřní parapet: dubový parapet, tloušťka 20 mm + nos na 40 mm, přírodní olej. Kování: povrch černý matný, rukojeť masivní zahnutá trubka ∅ 15 mm, masivní rozeta kruhový tvar.
Dodavatel předloží výrobní dokumentaci ke schválení architektovi stavby před započetím výroby. Rozměry nutno ověřit na stavbě. Podrobnosti viz dokumentace. Kompletní provedení.</t>
  </si>
  <si>
    <t>O8</t>
  </si>
  <si>
    <t>Okno pevné se skrytým obvodovým rámem, vel. cca dl. 2080mm x v. 1240mm,  rám dřevěný, dřevina dub, přírodní olej. Barva okapnice: RAL 7016 antracitová šedá matná. Těsnění:  hnědé. Silikon: černý.
Distanční rámeček (mezi sklem): tmavě hnědý. Výplň: čiré, izolační trojsklo, ESG 6/16/LE6/16/VSG44.2LE1.1, Ug: 0.60 W/m2K. Podkladový dřevěný profil.
Vnitřní sklo bezpečnostní vrstvené a lepené - vsg (odolnější, nerozbíjí se na ostré střepy).
Dodavatel předloží výrobní dokumentaci ke schválení architektovi stavby před započetím výroby. Rozměry nutno ověřit na stavbě. Podrobnosti viz dokumentace. Kompletní provedení.</t>
  </si>
  <si>
    <t>Montáž předsazená, včetně typizovaných kotev, k položkám O1, O5, O7, D9, výměra: cca 22,87m</t>
  </si>
  <si>
    <t>Montáž předsazená, bezrámová okna a sestavy do 150kg, včetně typizovaných kotev, k položkám O3, O6, O8, výměra: cca 52,42m</t>
  </si>
  <si>
    <t>Montáž předsazená, bezrámová okna a sestavy nad 150kg, včetně typizovaných kotev, k položkám O1, O2, O4, výměra: cca 45,30m</t>
  </si>
  <si>
    <t>Skládání bezrámu na stavbě, k položkám: O3, výměra: cca 24,94m</t>
  </si>
  <si>
    <t>Zasklení na stavbě, k položkám: O1, O2, O3, O4, O6,  výměra: cca 32,85m</t>
  </si>
  <si>
    <t>Minijeřáb do 500kg</t>
  </si>
  <si>
    <t>Parotěsná páska dle technologických předpisů výrobce oken tl. 70mm, k položkám: O1, O2, O3, O4, O5, O6, O7, O8, D9</t>
  </si>
  <si>
    <t>Montáž parotěsné pásky jednostranně - tl. 70mm,  k položkám: O1, O2, O3, O4, O5, O6, O7, O8, D9,  výměra: cca 120,59m</t>
  </si>
  <si>
    <t>Doprava, mechanizace, zaměření</t>
  </si>
  <si>
    <t>O9</t>
  </si>
  <si>
    <t>Střešní výlez pro výstup na střechu, víko plné, čistý rozměr otvoru 600x800 mm. 
- celokovový s tepelnou a zvukovou izolací a těsněním proti proniku vody
- vysoce odolný vlivu povětrnosti a vzniku koroze
- jednoduše ovladatelný jednou osobou pomocí jednoručního ovládacího mechanismu a pomocí zvedáků
Horní hrana 300 mm nad úrovní ploché střechy.
V úrovni spodní hrany stropní konstrukce bude instalován střešní kovový poklop s otevíráním dolů, barva černá matná.
V meziprostoru instalován žebřík výšky cca  690 mm s teleskopickou výstupní tyčí hliníkovou.
Součástí dodávky bude teleskopický žebřík hliníkový, maximální délka 3,2 m, ve složeném stavu délka 0,8 m, nosnost 150kg, hmotnost 9kg, šířka 500 mm, žebřík bude umožňovat bezvadné napojení na pevný žebřík ve výlezu na střechu. Žebřík bude uložen v 1. pp v technické místnosti.
Dodavatel předloží výrobní dokumentaci ke schválení architektovi stavby před započetím výroby. Rozměry nutno ověřit na stavbě. Podrobnosti viz dokumentace. Kompletní provedení.</t>
  </si>
  <si>
    <t>O10</t>
  </si>
  <si>
    <t>Kruhový skleněný světlík na ploché střechy, cca vnitřní Ø 2000mm, cca vnější Ø 1820mm, zasklení trojsklem, hliníkový rám,  vnější pohledový okraj rámu RAL 1036 pearl gold, pevně sešroubováno, bez možnosti otevření. Speciální sklo s ochranou proti poškrábání. Certifikát lga o trvalé bezpečnosti proti propadnutí.
Dodavatel předloží výrobní dokumentaci ke schválení architektovi stavby před započetím výroby.
rozměry nutno ověřit na stavbě. Podrobnosti viz dokumentace. Kompletní provedení.</t>
  </si>
  <si>
    <t>D1</t>
  </si>
  <si>
    <t>Vstupní dveře dvoukřídlé s nadsvětlíkem, vel. celkem cca š.2000mm x v. 4000mm, křídla vel. cca š.900mm+900mm x v. 2560mm, prosklené části křídel, rám dřevěný, šířka rámu min. 92 mm, dřevina dub, přírodní olej z interiéru, lazura z exteriéru, bezfalcové provedení, směr kladení dřeva na křídlech dveří viz výkres. Těsnění:  hnědé. Silikon: černý. Distanční rámeček (mezi sklem): tmavě hnědý. Sklo: čiré, izolační trojsklo.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Kování: panty skryté. 2x klika, atypické provedení na míru, nerezová tyč ∅ 30 mm, zalomený tvar, rozvinutá délka cca 230 mm, matná černá barva s odolností proti opotřebení. 2x rozeta navazující na tvarování dveřních křídel, obdélník 109x190 mm, nerezový plech, matná černá barva s odolností proti opotřebení. Bezpečnostní mechanický zámek. 2x madlo, atypické provedení na míru, nerezová tyč ∅ 30 mm, zalomený tvar, rozvinutá délka cca 585 mm, matná černá barva s odolností proti opotřebení.
Okopový plech mosaz, výška 150 mm.
Dodavatel předloží výrobní  dokumentaci ke schválení  architektovi stavby před započetím výroby. Rozměry nutno ověřit na stavbě. Podrobnosti viz dokumentace. Kompletní provedení.</t>
  </si>
  <si>
    <t>D2</t>
  </si>
  <si>
    <t>Dveře dvoukřídlé bezfalcové
Světlá šířka: 1100 mm, křídla 900 + 300 mm
Světlá výška: 2100 mm
Tloušťka stěny: 115 mm
Křídlo: plné
Samozavírač: ne
Zámek:  ano - povrch černý matný, fab 
Kování: povrch černý matný, rukojeť masivní zahnutá trubka ∅ 15 mm, masivní rozeta kruhový tvar
Zárubeň: obložková, voděodolná, hpl laminát, u961 grafitově šedá
Křídlo:   hpl laminát, u961 grafitově šedá, konstrukce: dutinková dtd deska 
Informační tabulka na zdi vedle dveří: černý eloxovaný hliník, bílý nápis: technická a úklidová místnost
Práh: dubový
Dodavatel předloží výrobní dokumentaci ke schválení architektovi stavby před započetím výroby. 
Rozměry nutno ověřit na stavbě. Podrobnosti viz dokumentace. Kompletní provedení.</t>
  </si>
  <si>
    <t>D3</t>
  </si>
  <si>
    <t>Dveře otvíravé levé bezfalcové
Světlá šířka: 800 mm
Světlá výška: 2100 mm
Tloušťka stěny: 115 mm
Křídlo: plné
Samozavírač: ne
Zámek:  ano - povrch černý matný, fab 
Kování: povrch černý matný, rukojeť masivní zahnutá trubka ∅ 15 mm, masivní rozeta kruhový tvar
Zárubeň: obložková, voděodolná, hpl laminát, u961 grafitově šedá
Křídlo:   hpl laminát, u961 grafitově šedá, konstrukce: dutinková dtd deska 
Informační tabulka na zdi vedle dveří: černý eloxovaný hliník, bílý nápis: seminární místnost
Větrací mřížka pro transfér vzduchu, plocha otvoru 0,03 m3, barva černá matná
Práh: bez prahu
Dodavatel předloží výrobní dokumentaci ke schválení architektovi stavby před započetím výroby. 
Rozměry nutno ověřit na stavbě.  Podrobnosti viz dokumentace. Kompletní provedení.</t>
  </si>
  <si>
    <t>D4</t>
  </si>
  <si>
    <t>Dveře otvíravé levé bezfalcové
Světlá šířka: 800 mm
Světlá výška: 2100 mm
Tloušťka stěny: 115 mm
Křídlo: plné
Samozavírač: ne
Zámek:  ano - povrch černý matný, fab  
Kování: povrch černý matný, rukojeť masivní zahnutá trubka ∅ 15 mm, masivní rozeta kruhový tvar
Zárubeň: obložková, voděodolná, hpl laminát, u961 grafitově šedá
Křídlo:   hpl laminát, u961 grafitově šedá, konstrukce: dutinková dtd deska 
Informační tabulka na zdi vedle dveří: černý eloxovaný hliník, bílý nápis: sakristie
mezera pod dveřními křídlem pro transfér vzduchu výšky 12,5 mm, plocha 0,01 m3
Práh: bez prahu
Dodavatel předloží výrobní dokumentaci ke schválení architektovi stavby před započetím výroby. 
Rozměry nutno ověřit na stavbě.  Podrobnosti viz dokumentace. Kompletní provedení.</t>
  </si>
  <si>
    <t>D5</t>
  </si>
  <si>
    <t>Dveře otvíravé levé bezfalcové
Světlá šířka: 800 mm
Světlá výška: 2100 mm
Tloušťka stěny: 115 mm
Křídlo: plné
Samozavírač: ano
Zámek: ano - povrch černý matný, fab 
Kování: povrch černý matný, rukojeť masivní zahnutá trubka ∅ 15 mm, masivní rozeta kruhový tvar
Zárubeň: obložková, voděodolná, hpl laminát, u961 grafitově šedá
Křídlo:   hpl laminát, U961 grafitově šedá, konstrukce: dutinková dtd deska 
Informační tabulka na zdi vedle dveří: černý eloxovaný hliník, bílý nápis: toalety
Větrací mřížka pro transfér vzduchu, plocha otvoru 0,04 m3, barva černá matná
Práh: bez prahu
Dodavatel předloží výrobní dokumentaci ke schválení architektovi stavby před započetím výroby. 
Rozměry nutno ověřit na stavbě. Rozměry nutno ověřit na stavbě.  Podrobnosti viz dokumentace. Kompletní provedení.</t>
  </si>
  <si>
    <t>D6</t>
  </si>
  <si>
    <t>Dveře otvíravé levé bezfalcové
Světlá šířka: 700 mm
Světlá výška: 2100 mm
Tloušťka stěny: 115 mm
Křídlo: plné
Samozavírač: ne
Zámek: wc zámek - povrch černý matný 
Kování: povrch černý matný, rukojeť masivní zahnutá trubka ∅ 15 mm, masivní rozeta kruhový tvar
Zárubeň: obložková, voděodolná, hpl laminát, u961 grafitově šedá
Křídlo:   hpl laminát, u961 grafitově šedá, konstrukce: dutinková dtd deska 
Mezera pod dveřními křídlem pro transfér vzduchu výšky 29 mm, plocha 0,02 m3
Práh: bez prahu
Dodavatel předloží výrobní dokumentaci ke schválení architektovi stavby před započetím výroby. 
Rozměry nutno ověřit na stavbě. Podrobnosti viz dokumentace. Kompletní provedení.</t>
  </si>
  <si>
    <t>D7</t>
  </si>
  <si>
    <t>Dveře otvíravé pravé bezfalcové
Světlá šířka: 700 mm
Světlá výška: 2100 mm
Tloušťka stěny: 115 mm
Křídlo: plné
Samozavírač: ne
Zámek: wc zámek - povrch černý matný 
Kování: povrch černý matný, rukojeť masivní zahnutá trubka ∅ 15 mm, masivní rozeta kruhový tvar
Zárubeň: obložková, voděodolná, hpl laminát, u961 grafitově šedá
Křídlo:   hpl laminát, u961 grafitově šedá, konstrukce: dutinková dtd deska 
Mezera pod dveřními křídlem pro transfér vzduchu výšky 29 mm, plocha 0,02 m3
Práh: bez prahu
Dodavatel předloží výrobní dokumentaci ke schválení architektovi stavby před započetím výroby. 
Rozměry nutno ověřit na stavbě. Podrobnosti viz dokumentace. Kompletní provedení.</t>
  </si>
  <si>
    <t>D8</t>
  </si>
  <si>
    <t>Atypické dveře otvíravé dvoukřídlé nad sebou pravé a levé
Světlá šířka: 810 mm
Světlá výška: 2450 mm
Křídlo: 2x plné
Samozavírač: ne
Zámek: ano 
Kování: povrch černý matný, zapuštěná úchytka na obou stranách dveřních křídel, magnetická aretace v zavřené a Otevřené poloze 
Zárubeň: rámová dub masivní, bezfalcové provedení
Křídlo:  dřevěné masivní z biodesky vrstvené,  dub, 
Povrchová úprava olej
Práh: bez prahu
dD dveřních křídel budou vyfrézovány nápisy sem/tam - celkem 4ks. hloubka 2 mm, vyplněná černou barvou.
Dodavatel předloží výrobní dokumentaci ke schválení architektovi stavby před započetím výroby. 
Rozměry nutno ověřit na stavbě.  Podrobnosti viz dokumentace. Kompletní provedení.</t>
  </si>
  <si>
    <t>D9</t>
  </si>
  <si>
    <t>Vstupní dveře jednokřídlé 
Rám dřevohliníkový, šířka dřevěného rámu min. 92 mm, dřevina dub, přírodní olej z interiéru, hliník z exteriéru, barva Ral 7016 antracitová šedá matná
Bezfalcové provedení, 
Světlá šířka: 840 mm
Světlá výška: 2200 mm
Těsnění:  hnědé
Silikon: černý
distanční rámeček (mezi sklem): tmavě hnědý
Sklo: čiré, izolační trojsklo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Kování: povrch černý matný, rukojeť masivní zahnutá trubka ∅ 15 mm, masivní rozeta kruhový tvar
zámek
Dodavatel předloží výrobní dokumentaci ke schválení architektovi stavby před započetím výroby. 
Rozměry nutno ověřit na stavbě. Podrobnosti viz dokumentace. Kompletní provedení.</t>
  </si>
  <si>
    <t>Truhlářské konstrukce, viz. D.1.12.1.16</t>
  </si>
  <si>
    <t>Poznámka:   Dodávka bude zhotovena na základě realizační a dílenské dokumentace zhotovitele, který bude odsouhlasen architektem - budou zahrnuty veškeré materiály, kování a kotvení (akceptace řešení zhotovitele architektem nezbaví zhotovitele zodpovědnosti plynoucí ze záruk za výrobek, výrobních vlastností dodávky a bezvadnou funkčnost výrobku jako celku).  Podrobnosti viz dokumentace. Kompletní provedení včetně montáže, kotvení, pomocného materiálu, mechanizace, dopravy a zaměření.</t>
  </si>
  <si>
    <t>T1</t>
  </si>
  <si>
    <t>Lavice dřevěná, vel. cca v. 900mm, š. 1200mm x 2 =2400mm, hl. 780mm, dřevina dub, přírodní olej, spárovka průběžná, nebo biodeska. Lavice se skládá ze dvou samostatně stojících části, které jsou propojeny šroubovým spojem.
Dodavatel předloží výrobní dokumentaci ke schválení architektovi stavby před započetím výroby.
Poté bude vyroben jeden prototyp, který bude předložen k odsouhlasení architektovi stavby.
Po odsouhlasení budou vyrobeny zbývající lavice. Podrobnosti viz dokumentace. Kompletní provedení.</t>
  </si>
  <si>
    <t>T2</t>
  </si>
  <si>
    <t>Lavice dřevěná, vel. cca v. 900mm, š. 1200mm, hl. 590mm, dřevina dub, přírodní olej, spárovka průběžná, nebo biodeska. Klekátko š.145mm, dl.1200mm, tl. cca 20mm kotveno ke konstrukci zábradlí.
Dodavatel předloží výrobní dokumentaci ke schválení architektovi stavby před započetím výroby.
Poté bude vyroben jeden prototyp, který bude předložen k odsouhlasení architektovi stavby.
Po odsouhlasení budou vyrobeny zbývající lavice.  Podrobnosti viz dokumentace. Kompletní provedení.</t>
  </si>
  <si>
    <t>T3</t>
  </si>
  <si>
    <t>Obklad čela stropní desky chóru ve tvaru L, vel. cca v. 445mm, š. 80-200mm, dl. 6690mm,  dřevina dub, přírodní olej, spárovka průběžná, nebo biodeska tl. 20 mm,  vodorovné směrování let dřeva. Kotveno přes nosný dřevěný rošt k nosné konstrukci. Spodní část bude zakrývat posuvný systém mříží - prvek Z 01 - nutno koordinovat. Případná spára bude umístěna v polovině. Dodavatel předloží výrobní dokumentaci ke schválení architektovi stavby před započetím výroby.  Podrobnosti viz dokumentace. Kompletní provedení.</t>
  </si>
  <si>
    <t>T4</t>
  </si>
  <si>
    <t>Dřevěné madlo zábradlí chóru, vel. cca v. 250mm, tl. 60mm, dl. 6690mm, dřevina dub, přírodní olej, spárovka průběžná, nebo biodeska tl. 60 mm, vodorovné směrování let dřeva. Kotveno na prvek Z2 - je nutno vzájemně koordinovat!!! Případná spára bude umístěna v polovině. Dodavatel předloží výrobní dokumentaci ke schválení architektovi stavby před započetím výroby.  Podrobnosti viz dokumentace. Kompletní provedení.</t>
  </si>
  <si>
    <t>T5</t>
  </si>
  <si>
    <t>Součástí je: 
Zapuštěná informační vitrína 6xA4, černý rám, přední uzamykatelná výplň - polykarbonát,
lakovaná zadní magnetická stěna, kterou lze popisovat fixy. Vitrína opatřena cylindrickým zámkem pro uzamčení.
VZT větrací mřížka nasávací, vel. cca v. 405mm x dl. 505mm, dřevěná dubová, masiv, přírodní olej.
Je nutno  koordinovat s provedením navazujících konstrukcí, zejména okna O 8 a dveří D1.
Dodavatel předloží výrobní dokumentaci ke schválení architektovi stavby před započetím výroby.  Podrobnosti viz dokumentace. Kompletní provedení.</t>
  </si>
  <si>
    <t>T6</t>
  </si>
  <si>
    <t>2x stůl, rozměr cca 1400 x 1000 mm, výška 760 mm, dub masiv, přírodní olej.
10 židlí s opěradlem, dubová masivní konstrukce, přírodní olej, stohovatelná, výška sedadla 47 cm.
Dodavatel předloží katalogové listy  k odsouhlasení architektem stavby. Podrobnosti viz dokumentace. Kompletní provedení.</t>
  </si>
  <si>
    <t>T7</t>
  </si>
  <si>
    <t>Stůl, rozměr cca 1500 x 800 mm, výška 780 mm, dub masiv, přírodní olej.
1 židle s opěradlem, dubová masivní konstrukce, přírodní olej, stohovatelná, výška sedadla 47 cm.
Dodavatel předloží katalogové listy  k odsouhlasení architektem stavby. Podrobnosti viz dokumentace. Kompletní provedení.</t>
  </si>
  <si>
    <t>T8</t>
  </si>
  <si>
    <t>Vestavná skříň, rozměry cca š. 2490 x hl. 600 mm, výška 2400 mm (až k podhledu). Konstrukce DTD tl. 18 mm tmavě šedá (boky, strop, dno, 3x svislá střední příčka) + záda bílá, dveře otevíravé DTD + dýha dub, přírodní olej. Úchytky černé zapuštěné obdélné délka cca 200 mm.
Vnitřní uspořádání zleva:
1. šatní tyč 2x nad sebou, horní police, dl. cca 600mm
2. šatní tyč 2x nad sebou, horní police, dl. cca 600mm
3. police po cca 250-300 mm, nastavitelné, dl. cca 600mm
4. police po cca 250-300 mm, nastavitelné, dl. cca 600mm
Vykrytí boků a vrchu v rovině korpusu + sokl 50 mm, tmavě šedá.
Dodavatel předloží výrobní dokumentaci ke schválení architektovi stavby před započetím výroby.  Podrobnosti viz dokumentace. Kompletní provedení.</t>
  </si>
  <si>
    <t>T9</t>
  </si>
  <si>
    <t>Vestavná skříň, rozměry cca š. 4235 x hl. 600 mm, výška 2750 mm (až ke stropu). Konstrukce DTD tl. 18 mm + lamino tmavě šedá (boky, dno, strop, 6x svislá střední příčka) + záda bílá (pouze u částí s dveřmi), dveře otvíravé DTD 18 mm + dýha dub, přírodní olej. Úchytky černé zapuštěné obdélné délka cca 200 mm, v horní části skříň zakrývá VZT potrubí, VZT potrubí je přístupné přes dvířka.
Vnitřní uspořádání zleva, moduly po cca 600 mm:
1. police pevné po cca 250-300 mm kotvené do žlb. kce, bez zad, bez dveří
2. police pevné po cca 250-300 mm, bez zad, bez dveří
3. police po cca 250-300 mm, nastavitelné + dveře
4. police po cca 250-300 mm, nastavitelné + dveře
5. police po cca 250-300 mm, nastavitelné + dveře
6. šatní tyč 2x nad sebou, bez zad, bez dveří
7. šatní tyč 2x nad sebou, bez zad, bez dveří
Vykrytí boků a vrchu v rovině korpusu + sokl 50 mm, tmavě šedá. 
Dodavatel předloží výrobní dokumentaci ke schválení architektovi stavby před započetím výroby.  Podrobnosti viz dokumentace. Kompletní provedení.</t>
  </si>
  <si>
    <t>T10</t>
  </si>
  <si>
    <t>Dřevěný obklad horní plochy vřetena schodiště, vel. cca Ø340mm, cca hl. 90mm, masivní dřevo, dřevina dub, přírodní olej. Bude použit špalek s dobře znatelnými letokruhy, které budou vidět shora.
Dodavatel předloží vzorek materiálu  k odsouhlasení architektem stavby. Podrobnosti viz dokumentace. Kompletní provedení.</t>
  </si>
  <si>
    <t>T11</t>
  </si>
  <si>
    <t>Konstrukce nábytkových dveří, vel. celkem cca š. 1140 x v. 2395mm, 
rám smrkový profil cca 100x100 mm + obložený deskou konstrukce DTD tl. 18 mm + dýha dub, přírodní olej.  Dveře otevíravé, š. cca 940mm x v. cca 2295mm,  DTD + dýha dub, přírodní olej, kování (panty) umožní otevření dveří o min. 152 stupňů.
Úchytky černé zapuštěné obdélné délka cca 200 mm + zámek.
Vše v jedné rovině. 
Dodavatel předloží výrobní dokumentaci ke schválení architektovi stavby před započetím výroby. Podrobnosti viz dokumentace. Kompletní provedení.</t>
  </si>
  <si>
    <t>Zámečnické konstrukce, viz. D.1.12.1.17</t>
  </si>
  <si>
    <t>Poznámka všeobecně:  Dodávka bude zhotovena na základě realizační a dílenské dokumentace zhotovitele, který bude odsouhlasen architektem - budou zahrnuty veškeré materiály, kování a kotvení (akceptace řešení zhotovitele architektem nezbaví zhotovitele zodpovědnosti plynoucí ze záruk za výrobek, výrobních vlastností dodávky a bezvadnou funkčnost výrobku jako celku).  Podrobnosti viz dokumentace. Kompletní provedení včetně montáže, kotvení, pomocného materiálu, mechanizace, dopravy a zaměření.</t>
  </si>
  <si>
    <t>Z1</t>
  </si>
  <si>
    <t>3 posuvné mříže a 1 pevná mříž, vel. cca š. celkově  6700mm x cca v. 2475 mm ,  4 tvarově stejné mříže z masivní oceli svařené do požadovaného tvaru, se zabroušenými sváry, opatřeno nátěrovým systémem s finální barevností kovářská černá. Obvodový profil: masivní ocel 26x40 mm, vnitřní příčky: masivní ocel 12x25 mm, ve styku prvků zabroušené sváry do rádiusu r= 5 mm. Krajní mříž u schodiště napevno kotvená do zdi a sloupu. 3 mříže posuvné - posuvný kolejnicový systém s aretací prvků ve dvou polohách:
- poloha 0: všechny mříže zasunuty v zákrytu za pevnou mříží
- poloha 1: všechny posuvné mříže vysunuty v jedné rovině.
Systém zamykání jedním zámkem. Bude použit posuvný systém pro posouvání mobilních příček. Posun mříží bude manuální vhodný pro 1 osobu.
Napojeno na prvek T3 - je nutno vzájemně koordinovat!!!
Dodavatel předloží výrobní dokumentaci ke schválení architektovi stavby před započetím výroby.
Před započetím provádění povrchových úprav bude svařený a zabroušený prvek schválen architektem stavby. Podrobnosti viz dokumentace. Kompletní provedení.</t>
  </si>
  <si>
    <t>Z2</t>
  </si>
  <si>
    <t>Zábradlí složené ze zábradelních dílců, vel. cca dl. 6705mm x v. 940mm x š. 270mm, zámečnická konstrukce -prostorová - z masivní oceli svařené do požadovaného tvaru, ze zabroušenými sváry, opatřeno nátěrovým systémem s finální barevností kovářská černá.  Patní plech tl. 10 mm, rozměr dle půdorysu. Sloupky: masivní ocel tyč 25x12 mm ve styku prvků zabroušené sváry do rádiusu r= 5 mm.
Vodorovná konstrukce pro kotvení madla (T4): plochá ocel 5x50 mm navařená na sloupky.
Zábradelní dílce jsou kotvené do železobetonové konstrukce pomocí chemických kotev.
Zábradelní dílce jsou k sobě kladeny na sraz.
Napojeno na prvek T4 a T2 - je nutno vzájemně koordinovat!!!
Dodavatel předloží výrobní dokumentaci včetně statického posouzení ke schválení architektovi stavby před započetím výroby.
Před započetím provádění povrchových úprav bude svařený a zabroušený prvek schválen architektem stavby. Podrobnosti viz dokumentace. Kompletní provedení.</t>
  </si>
  <si>
    <t>Z3</t>
  </si>
  <si>
    <t>Zábradelní madlo, dl. cca 41,4mb, zámečnická konstrukce z masivní oceli svařené do požadovaného tvaru, ze zabroušenými sváry a zaoblenými hranami, opatřeno nátěrovým systémem s finální barevností kovářská černá. Madlo:  masivní ocel tyč 30 x 12 mm, ohýbaná v lomových bodech dle tvarování schodiště, kotvení do zdi pomocí tyčí ∅ 10 mm s malou rozetou.
Napojeno na prvek T4, Z1 a Z2 - je nutno vzájemně koordinovat!!!
Dodavatel předloží výrobní dokumentaci ke schválení architektovi stavby před započetím výroby.
Před započetím provádění povrchových úprav bude svařený a zabroušený prvek schválen architektem stavby. Podrobnosti viz dokumentace. Kompletní provedení.</t>
  </si>
  <si>
    <t>Z4</t>
  </si>
  <si>
    <t xml:space="preserve">Zábradlí - zábradelní dílec, vel. cca š. 1085mm x v. 1000mm, zámečnická konstrukce z masivní oceli svařené do požadovaného tvaru, opatřeno nátěrovým systémem s finální barevností kovářská černá. 
Horní a spodní tyč: masivní ocel pásovina 60x12 mm. Svislá výplň: masivní ocel pásovina 60x6 mm.
Zábradelní dílec je kotvené do železobetonové konstrukce stěny a vřetena schodiště pomocí chemických kotev
Dodavatel předloží výrobní dokumentaci včetně statického posouzení ke schválení architektovi stavby před započetím výroby.
Před započetím provádění povrchových úprav bude svařený a zabroušený prvek schválen architektem stavby.  Podrobnosti viz dokumentace. Kompletní provedení.
</t>
  </si>
  <si>
    <t>Z5</t>
  </si>
  <si>
    <t>Sluneční hodiny, stylus (ukazatel), dl. cca 695 mm,  zámečnická konstrukce z ploché oceli tl. 12 mm, žárově zinkovaná, opatřená nátěrovým systémem s finální barevností bílá matná RAL 9016 dopravní bílá, kotvení skrz tepelnou izolaci pomocí tyčí a patního plechu, kotvení do železobetonové stěny.
Ciferník, plocha cca š. 2585 mm x v. cca 750 mm, kovová grafika vyřezaná do požadovaného tvaru kotvená do fasády systémovým detailem (celkem 12 ks, z toho 5 kusů s číslicí).
Barva grafiky a číslic: RAL 7016 antracitová šedá matná, lakování se provede kvalitními dvousložkovými barvami na bázi akrylátu, velikost číslic 130 mm, font trebuchet, linie tloušťky 10 mm.
Přesná geometrie prvků slunečních hodin bude navržena dodavatelem, aby byla zajištěna bezvadná funkčnost.
Dodavatel předloží výrobní dokumentaci  ke schválení architektovi stavby před započetím výroby. Podrobnosti viz dokumentace. Kompletní provedení.</t>
  </si>
  <si>
    <t>Z6</t>
  </si>
  <si>
    <t>3 zvony tónů A2, H2, D3 včetně kotvení do nosné konstrukce
1. Nový zvon tónu A2, hmotnost cca 65 kg, spodní průměr 470 mm, výška zvonu 450 mm:
výroba zvonového žebra, hliněné formy zvonu, odlití zvonu včetně materiálu zvonařská bronz cusn22
výtvarná výzdoba zvonu – dle náročnosti (letopočet, jméno zvonu a místa,text a ornament) 
2. Nový zvon tónu H2, hmotnost cca 50 kg, spodní průměru 420 mm,výška 410mm:
výroba zvonového žebra,výroba zvonové formy a odlití zvonu s materiálem zvonařská bronz
výtvarná výzdoba zvonu – dle náročnosti (letopočet, jméno zvonu a místa, text a ornament)
3. Nový zvon tónu D3, hmotnost cca 31 kg, spodní průměr 360 mm,výška 340 mm:
výroba zvonového žebra, hliněné formy zvonu a odlití zvonu včetně materiálu zvonařská bronz
výtvarná výzdoba zvonu – dle náročnosti (letopočet, jméno zvonu a místa, text a ornament) 
4. Elektronické vybavení zvonů: řídící jednotka vybavená přijímačem dcf, ručním i automatickým spouštěním skladeb, ovládaná dotykovým panelem, neomezený počet písní nebo kombinací, vstup pro midi klávesnici, spínání programovatelnými denními a týdenními spínacími hodinami s přijímačem dcf/gps a ručním spínáním, výkonová jednotka pro 3 zvony, zprovoznění a jednorázové vložení skladeb, možnost odbíjení hodin na vybrané zvony.
řídící jednotka bude umístěna v sakristii.
5. Komponenty zvonů: Komponenty zvonů včetně elektromagnetů a bicích kladívek pro 3 zvony.
Zvony budou zhotoveny v profilu středního žebra. Závěsná koruna zvonu  bude talířová s centrálním otvorem pro uchycení srdce zvonu. Zvonové originální formy budou modelovány z hlíny a výzdoba zvonu – písmo i reliéfy ze včelího vosku. Zvony budou vyrobeny z testovaného materiálu CuSn 78/22, dle norem čsn.
Výtvarná výzdoba zvonů: Výtvarnou výzdobu provede renomovaný výtvarník, zpracování návrhu je součástí dodávky.</t>
  </si>
  <si>
    <t>Součástí dodávky je rovněž atest a kolaudační protokol o akustickém obrazci zvonů, který bude zahrnovat rozbor všech tónů nového zvonu.
Součástí dodávky je také návrh, statické posouzení a dodávka kotvení zvonů do nosné konstrukce skrz tepelnou izolaci s minimalizací tepelného mostu. 
Dodavatel předloží výrobní dokumentaci  ke schválení architektovi stavby před započetím výroby.  Podrobnosti viz dokumentace. Kompletní provedení.</t>
  </si>
  <si>
    <t>Z7</t>
  </si>
  <si>
    <t>Hliníkové pevné stínící lamely 14 ks, vel. celkem cca š. 2380mm x v. 6750 mm, šířka žaluzie 305 mm, osazení ve sklonu 15°, vzdálenost od skla okna 120 mm.
Duté extrudované eliptické hliníkové lamely s povrchovou úpravou s finální barevností RAL 7016 antracitová šedá matná. Kotvení k rámu okna pomocí hliníkových prvků tvaru l a pomocí univerzálních bočních držáků v úhlové variantě15° k upevnění před fasádou.
Dodavatel předloží výrobní dokumentaci  ke schválení architektovi stavby před započetím výroby. Podrobnosti viz dokumentace. Kompletní provedení.</t>
  </si>
  <si>
    <t>Z8</t>
  </si>
  <si>
    <t>Oltářní mensa, rozměry celkem cca dl. 1990mm x š. 700mm, v. 900mm,  mosazná svařovaná konstrukce s masivní mramorovou deskou. Mosazná konstrukce: dva plechy propojené mosaznými tyčemi v různých směrech, spodní plech tl. 10 mm, horní plech tl. 10 mm, mosazné tyče, rozměr 18x18mm, délka 820 - 880 mm, 37 ks, sváry zabroušené, povrchová úprava leštěním. Cílem je dosáhnout barevnosti podobné zlatu. Mramorová deska: tloušťka 60 mm, bílý mramor, například z lomu carrara, leštěný.
Na prvky Z8, Z9, Z10 a Z11 bude použit stejný kámen s velmi podobnou kresbou.
Dodavatel předloží výrobní dokumentaci ke schválení architektovi stavby před započetím výroby.
Před započetím provádění povrchových úprav bude svařený a zabroušený prvek schválen architektem stavby. Dodavatel předloží vzorek kamene ve formátu minimálně 700x700 mm a vzorek mosazi ke schválení architektovi stavby před započetím výroby. Podrobnosti viz dokumentace. Kompletní provedení.</t>
  </si>
  <si>
    <t>Z9</t>
  </si>
  <si>
    <t>Kazatelna, rozměry celkem cca dl. 450mm x š. 360mm, v. 1325mm, mosazná svařovaná konstrukce s masivní mramorovou deskou. Mosazná konstrukce: dva plechy propojené mosaznými tyčemi v různých směrech, spodní plech tl. 10 mm, horní plech tl. 5 mm, mosazné tyče, rozměr 18x18mm, sváry zabroušené, povrchová úprava leštěním. Cílem je dosáhnout barevnosti podobné zlatu.
Mramorová deska: tloušťka 25 mm + zarážka na knihy, bílý mramor, například z lomu Carrara, leštěný.
Na prvky z8, z9, z10 a z11 bude použit stejný kámen s velmi podobnou kresbou.
Dodavatel předloží výrobní dokumentaci ke schválení architektovi stavby před započetím výroby.
Před započetím provádění povrchových úprav bude svařený a zabroušený prvek schválen architektem stavby.
Dodavatel předloží vzorek kamene ve formátu minimálně 700x700 mm a vzorek mosazi ke schválení architektovi stavby před započetím výroby. Podrobnosti viz dokumentace. Kompletní provedení.</t>
  </si>
  <si>
    <t>Z10</t>
  </si>
  <si>
    <t>Eucharistický svatostánek, celkové rozměry cca dl. 435mm x š.250mm, v. 1435mm, mosazná svařovaná konstrukce se zabudovanou skříňkou z masivních mramorových desek. Mosazná konstrukce:
mosazné tyče, rozměr 18x18mm, záda skříňky mosazný plech tl. 5 mm, sváry zabroušené, povrchová úprava leštěním. Cílem je dosáhnout barevnosti podobné zlatu.
Mramorové desky skříňky: tloušťka 20 mm, bílý mramor, například z lomu Carrara, leštěný
skříňka otvíravá jednokřídlá, zámek z boční strany.
Na vrchní straně umístěna mosazná trubka ∅ 40x2, délka 120 mm, na trubku je přikotvena objímka a žárovka, specifikace viz část d.1.12.5b osvětlení (kabel bude procházet trubkou a skříňkou).
Na prvky Z8, Z9, Z10 a Z11 bude použit stejný kámen s velmi podobnou kresbou.
Dodavatel předloží výrobní dokumentaci ke schválení architektovi stavby před započetím výroby.
Před započetím provádění povrchových úprav bude svařený a zabroušený prvek schválen architektem stavby. Dodavatel předloží vzorek kamene ve formátu minimálně 700x700 mm a vzorek mosazi ke schválení architektovi stavby před započetím výroby. Podrobnosti viz dokumentace. Kompletní provedení.</t>
  </si>
  <si>
    <t>Z11</t>
  </si>
  <si>
    <t xml:space="preserve">Kropenka, rozměr celkem cca dl. 350mm x š. 350mm, v. 1200mm, mosazná svařovaná konstrukce s nádobou z masivního mramoru a obkladem z mramorové desky. Mosazná konstrukce:
mosazné tyče, rozměr 18x18mm, záda pro kotvení mosazný plech tl. 5 mm, sváry zabroušené, povrchová úprava leštěním. Cílem je dosáhnout barevnosti podobné zlatu.
Nádoba: masivní tvarovaná, mramorový blok. Mramorový obklad za nádobou: tloušťka 15 mm, bílý mramor, například z lomu Carrara, leštěný. Kotveno do železobetonové stěny chemickými kotvami.
Na prvky Z8, Z9, Z10 a Z11 bude použit stejný kámen s velmi podobnou kresbou.
Dodavatel předloží výrobní dokumentaci ke schválení architektovi stavby před započetím výroby.
Před započetím provádění povrchových úprav bude svařený a zabroušený prvek schválen architektem stavby.
Dodavatel předloží vzorek kamene ve formátu minimálně 700x700 mm a vzorek mosazi ke schválení architektovi stavby před započetím výroby. Podrobnosti viz dokumentace. Kompletní provedení.
</t>
  </si>
  <si>
    <t>Z12</t>
  </si>
  <si>
    <t>Atypické svítidlo zavěšené ve světlíku, svařená mosazná konstrukce, válec o průměru 400 mm a výšce  260 mm s kuželovou špičkou výšky 300 mm směřující dolů, ve svislé zaoblené stěně budou provedeny obdélné otvory pro vložení 32 ks svítidel A5, specifikace svítidla viz část D.1.12.5b osvětlení. Horní část válce bude odnímatelná pro servisní přístup ke svítidlům. Válec bude zavěšen na 3 táhlech (dl. cca  860mm / jedno táhlo) mosazné konstrukce, táhla budou umožňovat protažení kabelů pro napojení svítidel. Táhla budou umožňovat rektifikaci pro zajištění vodorovné polohy svítidla.
Dodavatel předloží výrobní dokumentaci včetně statického posouzení ke schválení architektovi stavby před započetím výroby. Nutno koordinovat s prvkem KL15. Podrobnosti viz dokumentace. Kompletní provedení.</t>
  </si>
  <si>
    <t>Z13</t>
  </si>
  <si>
    <t>Z14</t>
  </si>
  <si>
    <t>Držák svítidel H2, rozměr celkem cca r.š. 465mm, dl. 190mm + boky 55mm*2ks, ocelová svařovaná konstrukce, zabroušené sváry, finální povrchová úprava bílá, totožná jako svítidla. Kotvení do železobetonové desky stropu pomocí chemických kotev.
Tloušťka plechu cca 5 mm. Nutno koordinovat s vybraným typem svítidla.
Dodavatel předloží výrobní dokumentaci včetně statického posouzení ke schválení architektovi stavby před započetím výroby. Nutno koordinovat s prvkem KL15. Podrobnosti viz dokumentace. Kompletní provedení.</t>
  </si>
  <si>
    <t>Doprava, montáž, kotvení, mechanizace, plošina, kompletní provedení.</t>
  </si>
  <si>
    <t>Klempířské konstrukce, viz. D.1.12.1.18</t>
  </si>
  <si>
    <t>KL 01</t>
  </si>
  <si>
    <t>Dešťový svod hranatý 100 x 100 mm, dl. 3000mm, ocelový pozinkovaný, barevnost RAL 9016 dopravní bílá matná, včetně kotlíku, včetně kotvení, kompletní provedení</t>
  </si>
  <si>
    <t>KL 02</t>
  </si>
  <si>
    <t>Dešťový svod - ocelový pozinkovaný hranatý, dl. 3000mm, včetně kotlíku, zakrytý fasádními kazetami z cortenové oceli, které vystupují před líc fasády, včetně kotvení, kompletní provedení</t>
  </si>
  <si>
    <t>KL 03</t>
  </si>
  <si>
    <t>Okenní parapet, dl. cca 280mm, r.š. cca 400mm,   z cortenové oceli (ocelový materiál s přirozenou masivní patinou)</t>
  </si>
  <si>
    <t>KL 04</t>
  </si>
  <si>
    <t>Okenní parapet, dl. cca 1200mm, r.š. cca  200mm, z cortenové oceli (ocelový materiál s přirozenou masivní patinou)</t>
  </si>
  <si>
    <t>KL 05</t>
  </si>
  <si>
    <t>Okenní parapet, dl. cca 920mm, r.š. cca  200mm, z cortenové oceli (ocelový materiál s přirozenou masivní patinou)</t>
  </si>
  <si>
    <t>KL 06</t>
  </si>
  <si>
    <t>Okenní parapet, dl. cca1800mm, r.š. cca  200mm, z cortenové oceli (ocelový materiál s přirozenou masivní patinou)</t>
  </si>
  <si>
    <t>KL 07</t>
  </si>
  <si>
    <t>Okenní parapet,  dl. cca 920mm, r.š. cca 200mm, z cortenové oceli (ocelový materiál s přirozenou masivní patinou)</t>
  </si>
  <si>
    <t>KL 08</t>
  </si>
  <si>
    <t>Okenní parapet,  dl. cca 1475mm, r.š. cca 200mm, z cortenové oceli (ocelový materiál s přirozenou masivní patinou)</t>
  </si>
  <si>
    <t>KL 09</t>
  </si>
  <si>
    <t>Okenní parapet,  dl. cca proměnná 2400-2800mm, r.š. cca 430mm, z hliníkového plechu, barevnost RAL 9016 dopravní bílá matná, tl. plechu 0,7mm</t>
  </si>
  <si>
    <t>KL 10</t>
  </si>
  <si>
    <t>Rohový okenní parapet,  dl. cca 2120+3000+2120 = 7240mm, r.š. cca 150mm, z hliníkového plechu, barevnost RAL 7016 antracitová šedá matná, tl. plechu 0,7mm</t>
  </si>
  <si>
    <t>KL 11</t>
  </si>
  <si>
    <t>Oplechování atiky, dl. cca12000mm, r.š. cca 650mm, z hliníkového plechu, barevnost RAL 7016 antracitová šedá matná, tl. plechu 0,7mm. Kompletní provedení včetně montáže, kotvení, pomocného materiálu, mechanizace, dopravy a zaměření.</t>
  </si>
  <si>
    <t>KL 12</t>
  </si>
  <si>
    <t>KL 13</t>
  </si>
  <si>
    <t>Falcovaná hliníková střešní kyritina na stojatou drážku, plocha cca 8,703m2,  barevnost  RAL 7016 antracitová šedá matná. Kompletní opláštění vstupního portálu - střechy, bočních stěn a čelního rámu. Tloušťka plechu 0,7 mm.  Dodavatel zpracuje kladečské plány a detaily fasády a předloží je k odsouhlasení před započetím výroby architektovi stavby. Podrobnosti viz dokumentace. Kompletní provedení včetně  montáže, kotvení, pomocného materiálu, mechanizace, dopravy a zaměření.</t>
  </si>
  <si>
    <t>KL 14</t>
  </si>
  <si>
    <t>Zakončení fasády na terase (madlo),   dl. cca 28900mm, r.š. cca 320mm -  z cortenové oceli (ocelový materiál s přirozenou masivní patinou). Kompletní provedení včetně  montáže, kotvení, pomocného materiálu, mechanizace, dopravy a zaměření.</t>
  </si>
  <si>
    <t>KL 15</t>
  </si>
  <si>
    <t>Vnitřní obložení světlíku, kuželová plocha,  dl. cca obvod 5825-8170mm, r.š. cca 950mm, obklad plechovými kazetami  z materiálu slitiny mědi, která drží stále zlatou barevnost - slitina CuAl5Zn5Sn1. Obkladový plech bude tlustý 1,5 mm, Dodavatel z tohoto plechu vyrobí přesně tvarované kazety, které se přikotví na podkladní nerezovou konstrukci.  Dodavatel předloží výrobní dokumentaci  ke schválení architektovi stavby před započetím výroby. Nutno koordinovat s výrobkem Z12. Podrobnosti viz dokumentace. Kompletní provedení včetně  montáže, pomocného lešení, kotvení, podkladní konstrukce, pomocného materiálu, mechanizace, dopravy a zaměření.</t>
  </si>
  <si>
    <t>KL16</t>
  </si>
  <si>
    <t>Oplechování soklu věže na střešní terase, z hliníkového plechu, barevnost RAL 7016 antracitová šedá matná, kotvení do zakládacího profilu fasádního systému, r.š. 300mm, dl. 3400+700mm</t>
  </si>
  <si>
    <t>Specifikace ostatních výrobků viz. D.1.12.1.19</t>
  </si>
  <si>
    <t>(umístění prvků je specifikováno ve výkresech):</t>
  </si>
  <si>
    <t>Poznámky: 1. Všechny materiálové vzorky a barevnost budou předloženy ke schválení architektovi stavby.</t>
  </si>
  <si>
    <t>3. Dodávka bude provedena na základě podrobného zaměření zhotovitele na stavbě.</t>
  </si>
  <si>
    <t>1 ks</t>
  </si>
  <si>
    <t>4 ks</t>
  </si>
  <si>
    <t>2 ks</t>
  </si>
  <si>
    <r>
      <rPr>
        <b/>
        <sz val="9"/>
        <rFont val="Arial"/>
        <family val="2"/>
        <charset val="238"/>
      </rPr>
      <t>V16</t>
    </r>
    <r>
      <rPr>
        <sz val="9"/>
        <rFont val="Arial"/>
        <family val="2"/>
        <charset val="238"/>
      </rPr>
      <t xml:space="preserve">   Odpadkový koš, nášlapný, lakovaný černý, objem 20l, výška 450 mm, průměr 300 mm , 2ks</t>
    </r>
  </si>
  <si>
    <t>Katalogový list bude předložen v odsouhlasení architektovi stavby.</t>
  </si>
  <si>
    <t>Koncové prvky elektro:</t>
  </si>
  <si>
    <t>Vypínač jednonásobný/ dvojnásobný s rámečkem a s krabicí</t>
  </si>
  <si>
    <t>Zásuvka jednonásobná /dvojnásobná s ochranými kolíky natočená s rámečkem a s krabicí</t>
  </si>
  <si>
    <t xml:space="preserve">Silnoproudá elektrotechnika </t>
  </si>
  <si>
    <t>Poznámka všeobecně: Specifikace dodávek a hlavního mont. materiálu včetně montáže, kotvení a pomocného materiálu.</t>
  </si>
  <si>
    <t>Sběrnice hlavního ochranného pospojování</t>
  </si>
  <si>
    <t>B1) Kabelové rozvody silnoproudu (vč. trubkovodů)</t>
  </si>
  <si>
    <t xml:space="preserve">Kabel CYKY J 4x25 </t>
  </si>
  <si>
    <t>Kabel CYKY J 5x2,5</t>
  </si>
  <si>
    <t>Kabel CYKY J 3x2,5</t>
  </si>
  <si>
    <t xml:space="preserve">Kabel CYKY J 5x1,5 </t>
  </si>
  <si>
    <t xml:space="preserve">Kabel CYKY J 3x1,5 </t>
  </si>
  <si>
    <t xml:space="preserve">Kabel CYKY o 3x1,5 </t>
  </si>
  <si>
    <t>Kabel CYKY o 2x1,5</t>
  </si>
  <si>
    <t>Kabel CXKH-V 5Cx1,5</t>
  </si>
  <si>
    <t>Kabel UTP 4x2x0,5, cat 5e</t>
  </si>
  <si>
    <t>Vodič CY16mm-z/žl</t>
  </si>
  <si>
    <t>Vodič CY4mm-z/žl</t>
  </si>
  <si>
    <t>Vodič CY2,5mm-z/žl</t>
  </si>
  <si>
    <t>Kabelový žlab MARS 62/50 vč. Víka, spojovacích, kotvících prvků, rohů, koncovek ….</t>
  </si>
  <si>
    <t>Trubka do betonu Js 23mm</t>
  </si>
  <si>
    <t>B2)  Ostatní elektroinstalace</t>
  </si>
  <si>
    <t>Vypínač řazení 1, 230V/10A (vč. krabice), IP20</t>
  </si>
  <si>
    <t>Vypínač řazení 5, 230V/10A (vč. krabice), IP20</t>
  </si>
  <si>
    <t>Vypínač řazení 6, 230V/10A (vč. krabice), IP20</t>
  </si>
  <si>
    <t>Vypínač řazení 7, 230V/10A (vč. krabice), IP20</t>
  </si>
  <si>
    <t>Tlačítko total stop vč. krabice</t>
  </si>
  <si>
    <t xml:space="preserve">Krabice svorková s požární integritou vč. svorkovnice </t>
  </si>
  <si>
    <t xml:space="preserve">Přezbrojení a dozbrojení RH1 (viz techn. zpráva bod 3.5.3) </t>
  </si>
  <si>
    <t>Zásuvka 230V/16A (vč. Krabice), IP20</t>
  </si>
  <si>
    <t>Dvojzásuvka 230V/16A (vč. Krabice), IP20</t>
  </si>
  <si>
    <t>Zásuvka 230V/16A (vč. Krabice), IP44</t>
  </si>
  <si>
    <t xml:space="preserve">Samoregulační topný kabel délky 4m </t>
  </si>
  <si>
    <t xml:space="preserve">Osoušeč rukou </t>
  </si>
  <si>
    <t xml:space="preserve">Komplet kabelového propojení technologie zvonkohry </t>
  </si>
  <si>
    <t>Reproduktor s dálkoým vysíláním a příjmem přes Bluetooth, například s ipadem. Pro pouštění hudby. Viz. Tabulka ostatních prvků D.1.12.1.19 prvek V18</t>
  </si>
  <si>
    <t>Kamera  s dálkovým vysíláním a příjmem, D+M</t>
  </si>
  <si>
    <t>Čidlo autonomní detekce kouře a signalizace</t>
  </si>
  <si>
    <t>Kombinovaný svodič bleskových proudů</t>
  </si>
  <si>
    <t>B3) Osvětlovací tělesa</t>
  </si>
  <si>
    <t xml:space="preserve">Podpůrná trubka 3.2m </t>
  </si>
  <si>
    <t xml:space="preserve">Jímací tyč délky 2,5m </t>
  </si>
  <si>
    <t>Svorka PA</t>
  </si>
  <si>
    <t>Držák podpůrné trubky na stěnu</t>
  </si>
  <si>
    <t>Vodič HV Long šedý</t>
  </si>
  <si>
    <t>Sada pro připojení vodičů HVI</t>
  </si>
  <si>
    <t>Sada koncovek vodiče HVI Long šedý – vnější připojení</t>
  </si>
  <si>
    <t>Držák vedení DVI na stěnu</t>
  </si>
  <si>
    <t xml:space="preserve">Zemní litinoví krabice se zkušební svorkou </t>
  </si>
  <si>
    <t>Spojka spojovací SP1/zkušební – uzemnění pláště</t>
  </si>
  <si>
    <t>Pasek FeZn 30/4</t>
  </si>
  <si>
    <t>Vodič FeZn prům 10mm</t>
  </si>
  <si>
    <t>Spojka spojovací zemní</t>
  </si>
  <si>
    <t>Spojka spojovací zemní (FeZn30/4 – vodič prům 10mm)</t>
  </si>
  <si>
    <t>Revize hromosvodu</t>
  </si>
  <si>
    <t xml:space="preserve">Kabelové lože 1-1 dle v.č. . D.1.12.05a.01 (vč. hloubení výkopů 50x50cm, reailzace pískového lože, položení krycí cihly a krycí fólie, hutnění materiálu, odvozu přebytečné zeminy) </t>
  </si>
  <si>
    <t>Revize el. zařízení a kompletní zkoušky</t>
  </si>
  <si>
    <t>kompl</t>
  </si>
  <si>
    <t>Vyhledání a vytýčení stávajících kabel. tras a podzemních objektů</t>
  </si>
  <si>
    <t>Doprava a mechanizace</t>
  </si>
  <si>
    <t>Koordinace slaboproudých a řídích technologii (včetně zajištění vzájemné kompaktibility - hardware a software)</t>
  </si>
  <si>
    <t>model 1:1 atypického svítidla do světlíku v hlavní lodi pro ověření šíření světla v reálném prostředí, včetně schránky svítidla s táhly pro kotvení -  viz. Tabulka zámečnických výrobků Z12, včetně montáže, zapojení, kotvení, pomocného materiálu, zaměření, kompletní provedení</t>
  </si>
  <si>
    <r>
      <t xml:space="preserve"> - Příplatek k vodorovnému přemístění výkopku( beton) /sypaniny </t>
    </r>
    <r>
      <rPr>
        <sz val="10"/>
        <rFont val="Arial"/>
        <family val="2"/>
        <charset val="238"/>
      </rPr>
      <t>z horniny třídy těžitelnosti II, skupiny 4 a 5 ZKD 1000 m přes 10000 m (30km x …..Kč/1000m)=Kč celkem</t>
    </r>
  </si>
  <si>
    <t xml:space="preserve"> základní náklady  bez DPH 21%</t>
  </si>
  <si>
    <t>29</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</si>
  <si>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</si>
  <si>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</si>
  <si>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</si>
  <si>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</si>
  <si>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</si>
  <si>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</si>
  <si>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</si>
  <si>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</si>
  <si>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</si>
  <si>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</si>
  <si>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</si>
  <si>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</si>
  <si>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</si>
  <si>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</si>
  <si>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</si>
  <si>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</si>
  <si>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</si>
  <si>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</si>
  <si>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</si>
  <si>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</si>
  <si>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</si>
  <si>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</si>
  <si>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</si>
  <si>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</si>
  <si>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</si>
  <si>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</si>
  <si>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</si>
  <si>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</si>
  <si>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</si>
  <si>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</si>
  <si>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</si>
  <si>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</si>
  <si>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</si>
  <si>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</si>
  <si>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</si>
  <si>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</si>
  <si>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</si>
  <si>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</si>
  <si>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</si>
  <si>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</si>
  <si>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</si>
  <si>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</si>
  <si>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</si>
  <si>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</si>
  <si>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</si>
  <si>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</si>
  <si>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</si>
  <si>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</si>
  <si>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</si>
  <si>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</si>
  <si>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</si>
  <si>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</si>
  <si>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</si>
  <si>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</si>
  <si>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</si>
  <si>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</si>
  <si>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</si>
  <si>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</si>
  <si>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</si>
  <si>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</si>
  <si>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</si>
  <si>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</si>
  <si>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</si>
  <si>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</si>
  <si>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</si>
  <si>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</si>
  <si>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</si>
  <si>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</si>
  <si>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</si>
  <si>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</si>
  <si>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</si>
  <si>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</si>
  <si>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</si>
  <si>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</si>
  <si>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</si>
  <si>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</si>
  <si>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</si>
  <si>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</si>
  <si>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</si>
  <si>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</si>
  <si>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</si>
  <si>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</si>
  <si>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</si>
  <si>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</si>
  <si>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</si>
  <si>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</si>
  <si>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</si>
  <si>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</si>
  <si>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</si>
  <si>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</si>
  <si>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</si>
  <si>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</si>
  <si>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</si>
  <si>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</si>
  <si>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</si>
  <si>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</si>
  <si>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</si>
  <si>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</si>
  <si>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</si>
  <si>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</si>
  <si>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</si>
  <si>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</si>
  <si>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</si>
  <si>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</si>
  <si>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</si>
  <si>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</si>
  <si>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</si>
  <si>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</si>
  <si>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</si>
  <si>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</si>
  <si>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</si>
  <si>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</si>
  <si>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</si>
  <si>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</si>
  <si>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</si>
  <si>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</si>
  <si>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</si>
  <si>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</si>
  <si>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</si>
  <si>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</si>
  <si>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</si>
  <si>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</si>
  <si>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</si>
  <si>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</si>
  <si>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</si>
  <si>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</si>
  <si>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</si>
  <si>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</si>
  <si>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</si>
  <si>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</si>
  <si>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</si>
  <si>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</si>
  <si>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</si>
  <si>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</si>
  <si>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</si>
  <si>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</si>
  <si>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</si>
  <si>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</si>
  <si>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</si>
  <si>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</si>
  <si>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</si>
  <si>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</si>
  <si>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</si>
  <si>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</si>
  <si>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</si>
  <si>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</si>
  <si>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</si>
  <si>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</si>
  <si>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</si>
  <si>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</si>
  <si>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</si>
  <si>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</si>
  <si>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</si>
  <si>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</si>
  <si>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</si>
  <si>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</si>
  <si>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</si>
  <si>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</si>
  <si>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</si>
  <si>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</si>
  <si>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</si>
  <si>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</si>
  <si>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</si>
  <si>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</si>
  <si>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</si>
  <si>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</si>
  <si>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</si>
  <si>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</si>
  <si>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</si>
  <si>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</si>
  <si>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</si>
  <si>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</si>
  <si>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</si>
  <si>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</si>
  <si>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</si>
  <si>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</si>
  <si>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</si>
  <si>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</si>
  <si>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</si>
  <si>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</si>
  <si>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</si>
  <si>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</si>
  <si>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</si>
  <si>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</si>
  <si>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</si>
  <si>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</si>
  <si>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</si>
  <si>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</si>
  <si>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</si>
  <si>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</si>
  <si>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</si>
  <si>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</si>
  <si>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</si>
  <si>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</si>
  <si>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</si>
  <si>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</si>
  <si>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</si>
  <si>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</si>
  <si>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</si>
  <si>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</si>
  <si>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</si>
  <si>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</si>
  <si>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</si>
  <si>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</si>
  <si>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</si>
  <si>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</si>
  <si>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</si>
  <si>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</si>
  <si>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</si>
  <si>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</si>
  <si>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</si>
  <si>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</si>
  <si>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</si>
  <si>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</si>
  <si>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</si>
  <si>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</si>
  <si>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</si>
  <si>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</si>
  <si>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</si>
  <si>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</si>
  <si>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</si>
  <si>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</si>
  <si>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</si>
  <si>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</si>
  <si>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</si>
  <si>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</si>
  <si>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</si>
  <si>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</si>
  <si>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</si>
  <si>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</si>
  <si>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</si>
  <si>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</si>
  <si>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</si>
  <si>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</si>
  <si>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</si>
  <si>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</si>
  <si>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</si>
  <si>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</si>
  <si>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</si>
  <si>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</si>
  <si>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</si>
  <si>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</si>
  <si>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</si>
  <si>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</si>
  <si>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</si>
  <si>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</si>
  <si>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</si>
  <si>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</si>
  <si>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</si>
  <si>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</si>
  <si>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</si>
  <si>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</si>
  <si>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</si>
  <si>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</si>
  <si>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</si>
  <si>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</si>
  <si>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</si>
  <si>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</si>
  <si>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</si>
  <si>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</si>
  <si>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</si>
  <si>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</si>
  <si>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</si>
  <si>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</si>
  <si>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</si>
  <si>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</si>
  <si>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</si>
  <si>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</si>
  <si>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</si>
  <si>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</si>
  <si>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</si>
  <si>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</si>
  <si>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</si>
  <si>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</si>
  <si>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</si>
  <si>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</si>
  <si>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</si>
  <si>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</si>
  <si>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</si>
  <si>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</si>
  <si>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</si>
  <si>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</si>
  <si>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</si>
  <si>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</si>
  <si>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</si>
  <si>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</si>
  <si>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</si>
  <si>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</si>
  <si>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</si>
  <si>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</si>
  <si>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</si>
  <si>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</si>
  <si>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</si>
  <si>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</si>
  <si>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</si>
  <si>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</si>
  <si>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</si>
  <si>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</si>
  <si>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</si>
  <si>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</si>
  <si>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</si>
  <si>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</si>
  <si>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</si>
  <si>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</si>
  <si>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</si>
  <si>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</si>
  <si>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</si>
  <si>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</si>
  <si>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</si>
  <si>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</si>
  <si>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</si>
  <si>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</si>
  <si>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</si>
  <si>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</si>
  <si>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</si>
  <si>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</si>
  <si>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</si>
  <si>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</si>
  <si>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</si>
  <si>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</si>
  <si>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</si>
  <si>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</si>
  <si>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</si>
  <si>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</si>
  <si>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</si>
  <si>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</si>
  <si>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</si>
  <si>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</si>
  <si>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</si>
  <si>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</si>
  <si>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</si>
  <si>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</si>
  <si>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</si>
  <si>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</si>
  <si>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</si>
  <si>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</si>
  <si>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</si>
  <si>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</si>
  <si>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</si>
  <si>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</si>
  <si>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</si>
  <si>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</si>
  <si>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</si>
  <si>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</si>
  <si>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</si>
  <si>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</si>
  <si>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</si>
  <si>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</si>
  <si>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</si>
  <si>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</si>
  <si>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</si>
  <si>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</si>
  <si>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</si>
  <si>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</si>
  <si>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</si>
  <si>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</si>
  <si>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</si>
  <si>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</si>
  <si>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</si>
  <si>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</si>
  <si>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</si>
  <si>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</si>
  <si>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</si>
  <si>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</si>
  <si>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</si>
  <si>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</si>
  <si>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</si>
  <si>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</si>
  <si>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</si>
  <si>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</si>
  <si>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</si>
  <si>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</si>
  <si>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</si>
  <si>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</si>
  <si>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</si>
  <si>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</si>
  <si>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</si>
  <si>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</si>
  <si>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</si>
  <si>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</si>
  <si>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</si>
  <si>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</si>
  <si>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</si>
  <si>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</si>
  <si>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</si>
  <si>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</si>
  <si>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</si>
  <si>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</si>
  <si>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</si>
  <si>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</si>
  <si>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</si>
  <si>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</si>
  <si>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</si>
  <si>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</si>
  <si>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</si>
  <si>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</si>
  <si>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</si>
  <si>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</si>
  <si>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</si>
  <si>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</si>
  <si>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</si>
  <si>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</si>
  <si>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</si>
  <si>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</si>
  <si>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</si>
  <si>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</si>
  <si>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</si>
  <si>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</si>
  <si>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</si>
  <si>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</si>
  <si>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</si>
  <si>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</si>
  <si>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</si>
  <si>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</si>
  <si>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</si>
  <si>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</si>
  <si>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</si>
  <si>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</si>
  <si>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</si>
  <si>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</si>
  <si>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</si>
  <si>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</si>
  <si>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</si>
  <si>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</si>
  <si>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</si>
  <si>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</si>
  <si>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</si>
  <si>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</si>
  <si>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</si>
  <si>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</si>
  <si>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</si>
  <si>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</si>
  <si>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</si>
  <si>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</si>
  <si>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</si>
  <si>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</si>
  <si>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</si>
  <si>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</si>
  <si>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</si>
  <si>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</si>
  <si>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</si>
  <si>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</si>
  <si>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</si>
  <si>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</si>
  <si>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</si>
  <si>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</si>
  <si>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</si>
  <si>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</si>
  <si>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</si>
  <si>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</si>
  <si>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</si>
  <si>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</si>
  <si>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</si>
  <si>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</si>
  <si>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</si>
  <si>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</si>
  <si>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</si>
  <si>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</si>
  <si>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</si>
  <si>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</si>
  <si>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</si>
  <si>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</si>
  <si>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</si>
  <si>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</si>
  <si>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</si>
  <si>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</si>
  <si>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</si>
  <si>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</si>
  <si>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</si>
  <si>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</si>
  <si>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</si>
  <si>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</si>
  <si>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</si>
  <si>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</si>
  <si>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</si>
  <si>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</si>
  <si>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</si>
  <si>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</si>
  <si>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</si>
  <si>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</si>
  <si>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</si>
  <si>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</si>
  <si>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</si>
  <si>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</si>
  <si>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</si>
  <si>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</si>
  <si>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</si>
  <si>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</si>
  <si>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</si>
  <si>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</si>
  <si>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</si>
  <si>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</si>
  <si>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</si>
  <si>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</si>
  <si>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</si>
  <si>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</si>
  <si>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</si>
  <si>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</si>
  <si>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</si>
  <si>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</si>
  <si>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</si>
  <si>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</si>
  <si>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</si>
  <si>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</si>
  <si>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</si>
  <si>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</si>
  <si>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</si>
  <si>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</si>
  <si>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</si>
  <si>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</si>
  <si>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</si>
  <si>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</si>
  <si>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</si>
  <si>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</si>
  <si>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</si>
  <si>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</si>
  <si>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</si>
  <si>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</si>
  <si>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</si>
  <si>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</si>
  <si>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</si>
  <si>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</si>
  <si>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</si>
  <si>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</si>
  <si>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</si>
  <si>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</si>
  <si>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</si>
  <si>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</si>
  <si>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</si>
  <si>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</si>
  <si>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</si>
  <si>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</si>
  <si>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</si>
  <si>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</si>
  <si>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</si>
  <si>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</si>
  <si>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</si>
  <si>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</si>
  <si>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</si>
  <si>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</si>
  <si>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</si>
  <si>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</si>
  <si>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</si>
  <si>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</si>
  <si>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</si>
  <si>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</si>
  <si>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</si>
  <si>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</si>
  <si>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</si>
  <si>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</si>
  <si>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</si>
  <si>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</si>
  <si>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</si>
  <si>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</si>
  <si>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</si>
  <si>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</si>
  <si>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</si>
  <si>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</si>
  <si>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</si>
  <si>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</si>
  <si>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</si>
  <si>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</si>
  <si>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</si>
  <si>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</si>
  <si>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</si>
  <si>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</si>
  <si>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</si>
  <si>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</si>
  <si>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</si>
  <si>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</si>
  <si>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</si>
  <si>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</si>
  <si>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</si>
  <si>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</si>
  <si>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</si>
  <si>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</si>
  <si>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</si>
  <si>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</si>
  <si>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</si>
  <si>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</si>
  <si>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</si>
  <si>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</si>
  <si>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</si>
  <si>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</si>
  <si>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</si>
  <si>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</si>
  <si>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</si>
  <si>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</si>
  <si>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</si>
  <si>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</si>
  <si>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</si>
  <si>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</si>
  <si>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</si>
  <si>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</si>
  <si>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</si>
  <si>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</si>
  <si>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</si>
  <si>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</si>
  <si>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</si>
  <si>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</si>
  <si>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</si>
  <si>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</si>
  <si>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</si>
  <si>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</si>
  <si>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</si>
  <si>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</si>
  <si>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</si>
  <si>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</si>
  <si>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</si>
  <si>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</si>
  <si>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</si>
  <si>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</si>
  <si>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</si>
  <si>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</si>
  <si>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</si>
  <si>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</si>
  <si>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</si>
  <si>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</si>
  <si>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</si>
  <si>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</si>
  <si>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</si>
  <si>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</si>
  <si>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</si>
  <si>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</si>
  <si>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</si>
  <si>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</si>
  <si>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</si>
  <si>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</si>
  <si>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</si>
  <si>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</si>
  <si>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</si>
  <si>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</si>
  <si>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</si>
  <si>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</si>
  <si>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</si>
  <si>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</si>
  <si>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</si>
  <si>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</si>
  <si>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</si>
  <si>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</si>
  <si>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</si>
  <si>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</si>
  <si>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</si>
  <si>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</si>
  <si>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</si>
  <si>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</si>
  <si>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</si>
  <si>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</si>
  <si>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</si>
  <si>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</si>
  <si>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</si>
  <si>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</si>
  <si>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</si>
  <si>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</si>
  <si>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</si>
  <si>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</si>
  <si>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</si>
  <si>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</si>
  <si>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</si>
  <si>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</si>
  <si>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</si>
  <si>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</si>
  <si>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</si>
  <si>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</si>
  <si>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</si>
  <si>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</si>
  <si>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</si>
  <si>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</si>
  <si>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</si>
  <si>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</si>
  <si>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</si>
  <si>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</si>
  <si>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</si>
  <si>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</si>
  <si>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</si>
  <si>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</si>
  <si>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</si>
  <si>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</si>
  <si>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</si>
  <si>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</si>
  <si>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</si>
  <si>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</si>
  <si>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</si>
  <si>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</si>
  <si>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</si>
  <si>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</si>
  <si>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</si>
  <si>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</si>
  <si>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</si>
  <si>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</si>
  <si>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</si>
  <si>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</si>
  <si>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</si>
  <si>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</si>
  <si>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</si>
  <si>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</si>
  <si>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</si>
  <si>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</si>
  <si>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</si>
  <si>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</si>
  <si>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</si>
  <si>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</si>
  <si>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</si>
  <si>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</si>
  <si>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</si>
  <si>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</si>
  <si>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</si>
  <si>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</si>
  <si>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</si>
  <si>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</si>
  <si>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</si>
  <si>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</si>
  <si>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</si>
  <si>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</si>
  <si>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</si>
  <si>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</si>
  <si>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</si>
  <si>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</si>
  <si>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</si>
  <si>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</si>
  <si>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</si>
  <si>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</si>
  <si>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</si>
  <si>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</si>
  <si>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</si>
  <si>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</si>
  <si>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</si>
  <si>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</si>
  <si>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</si>
  <si>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</si>
  <si>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</si>
  <si>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</si>
  <si>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</si>
  <si>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</si>
  <si>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</si>
  <si>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</si>
  <si>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</si>
  <si>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</si>
  <si>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</si>
  <si>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</si>
  <si>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</si>
  <si>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</si>
  <si>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</si>
  <si>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</si>
  <si>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</si>
  <si>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</si>
  <si>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</si>
  <si>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</si>
  <si>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</si>
  <si>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</si>
  <si>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</si>
  <si>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</si>
  <si>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</si>
  <si>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</si>
  <si>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</si>
  <si>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</si>
  <si>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</si>
  <si>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</si>
  <si>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</si>
  <si>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</si>
  <si>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</si>
  <si>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</si>
  <si>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</si>
  <si>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</si>
  <si>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</si>
  <si>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</si>
  <si>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</si>
  <si>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</si>
  <si>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</si>
  <si>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</si>
  <si>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</si>
  <si>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</si>
  <si>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</si>
  <si>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</si>
  <si>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</si>
  <si>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</si>
  <si>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</si>
  <si>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</si>
  <si>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</si>
  <si>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</si>
  <si>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</si>
  <si>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Revize požární</t>
  </si>
  <si>
    <r>
      <rPr>
        <b/>
        <sz val="10"/>
        <rFont val="Arial"/>
        <family val="2"/>
        <charset val="238"/>
      </rPr>
      <t xml:space="preserve"> - Vyhledání</t>
    </r>
    <r>
      <rPr>
        <sz val="10"/>
        <rFont val="Arial"/>
        <family val="2"/>
        <charset val="238"/>
      </rPr>
      <t xml:space="preserve">  detektorem a vytyčení stávajících inženýrských sítí (např. el.kabelů a kabelových tratí  silno a slaboproudých, potrubí vody a kanalizace) ve spolupráci správců sítí. </t>
    </r>
  </si>
  <si>
    <r>
      <rPr>
        <b/>
        <sz val="10"/>
        <rFont val="Arial"/>
        <family val="2"/>
        <charset val="238"/>
      </rPr>
      <t xml:space="preserve"> - Dočasné zajištění - </t>
    </r>
    <r>
      <rPr>
        <sz val="10"/>
        <rFont val="Arial"/>
        <family val="2"/>
        <charset val="238"/>
      </rPr>
      <t xml:space="preserve"> stávajících inženýrských sítí během výkopových prací, podél výkopových prací, kompletní provedení, výměra cca: (18,5)m*28ks+15m*8ks . 
Nutno zajistit před prováděním zemních prací.</t>
    </r>
  </si>
  <si>
    <r>
      <rPr>
        <b/>
        <sz val="10"/>
        <rFont val="Arial"/>
        <family val="2"/>
        <charset val="238"/>
      </rPr>
      <t xml:space="preserve">Zemina </t>
    </r>
    <r>
      <rPr>
        <sz val="10"/>
        <rFont val="Arial"/>
        <family val="2"/>
        <charset val="238"/>
      </rPr>
      <t>pro terénní úprav</t>
    </r>
    <r>
      <rPr>
        <b/>
        <sz val="10"/>
        <rFont val="Arial"/>
        <family val="2"/>
        <charset val="238"/>
      </rPr>
      <t xml:space="preserve">y </t>
    </r>
    <r>
      <rPr>
        <sz val="10"/>
        <rFont val="Arial"/>
        <family val="2"/>
        <charset val="238"/>
      </rPr>
      <t>vhodná do zásypů pod skladby,  hutnění po cca 200mm výšky dle IGP  na min.45MPa/m2 ; výměra : 6,70m2*33,9bm</t>
    </r>
  </si>
  <si>
    <r>
      <rPr>
        <b/>
        <sz val="10"/>
        <rFont val="Arial"/>
        <family val="2"/>
        <charset val="238"/>
      </rPr>
      <t>Hutnění</t>
    </r>
    <r>
      <rPr>
        <sz val="10"/>
        <rFont val="Arial"/>
        <family val="2"/>
        <charset val="238"/>
      </rPr>
      <t xml:space="preserve"> podkladu pro terénní úpravy </t>
    </r>
  </si>
  <si>
    <r>
      <rPr>
        <b/>
        <sz val="10"/>
        <rFont val="Arial"/>
        <family val="2"/>
        <charset val="238"/>
      </rPr>
      <t xml:space="preserve">Výkop v navážce </t>
    </r>
    <r>
      <rPr>
        <sz val="10"/>
        <rFont val="Arial"/>
        <family val="2"/>
        <charset val="238"/>
      </rPr>
      <t>pro drenáž od úrovně -3,810 na úroveň - 4,06, výměra: cca 0,123m2*36,0+pro patku sloupu 3,65*0,25 (je započteno viz popis výše -vsakovací objekt) dopsat čísla položek</t>
    </r>
  </si>
  <si>
    <r>
      <t xml:space="preserve"> - </t>
    </r>
    <r>
      <rPr>
        <b/>
        <sz val="10"/>
        <rFont val="Arial"/>
        <family val="2"/>
        <charset val="238"/>
      </rPr>
      <t xml:space="preserve">Drenážní potrubí </t>
    </r>
    <r>
      <rPr>
        <sz val="10"/>
        <rFont val="Arial"/>
        <family val="2"/>
        <charset val="238"/>
      </rPr>
      <t>z trubek flexibilních  PVC DN 100 mm + lože a obsyp štěrkopískem; výměra : 0,25m2*(36,80+1,00+6,3*2)</t>
    </r>
  </si>
  <si>
    <r>
      <rPr>
        <b/>
        <sz val="10"/>
        <rFont val="Arial"/>
        <family val="2"/>
        <charset val="238"/>
      </rPr>
      <t>Geotextilie pro ochranu</t>
    </r>
    <r>
      <rPr>
        <sz val="10"/>
        <rFont val="Arial"/>
        <family val="2"/>
        <charset val="238"/>
      </rPr>
      <t>, separaci a filtraci netkaná měrná hm do 200 g/m2; výměra : 0,50*(36,80+1,00+6,3*2)</t>
    </r>
  </si>
  <si>
    <r>
      <rPr>
        <b/>
        <sz val="10"/>
        <rFont val="Arial"/>
        <family val="2"/>
        <charset val="238"/>
      </rPr>
      <t>Napojení drenážního potrubí</t>
    </r>
    <r>
      <rPr>
        <sz val="10"/>
        <rFont val="Arial"/>
        <family val="2"/>
        <charset val="238"/>
      </rPr>
      <t xml:space="preserve"> do vsakovacího objektu</t>
    </r>
  </si>
  <si>
    <r>
      <t>poznámka :</t>
    </r>
    <r>
      <rPr>
        <sz val="10"/>
        <rFont val="Arial"/>
        <family val="2"/>
        <charset val="238"/>
      </rPr>
      <t xml:space="preserve"> upřesní se dle realizační dokumentace</t>
    </r>
  </si>
  <si>
    <r>
      <t xml:space="preserve">Zemní práce prováděné po kolaudaci náměstí </t>
    </r>
    <r>
      <rPr>
        <sz val="10"/>
        <rFont val="Arial"/>
        <family val="2"/>
        <charset val="238"/>
      </rPr>
      <t>(možno odečíst při současné realizaci s náměstím)</t>
    </r>
  </si>
  <si>
    <r>
      <t xml:space="preserve">Dodávka + montáž;  </t>
    </r>
    <r>
      <rPr>
        <b/>
        <sz val="10"/>
        <rFont val="Arial"/>
        <family val="2"/>
        <charset val="238"/>
      </rPr>
      <t>geotextilie tkaná</t>
    </r>
    <r>
      <rPr>
        <sz val="10"/>
        <rFont val="Arial"/>
        <family val="2"/>
        <charset val="238"/>
      </rPr>
      <t xml:space="preserve"> separační, filtrační, výztužná PP pevnost v tahu 80kN/m</t>
    </r>
  </si>
  <si>
    <r>
      <t xml:space="preserve">Smykové lišty proti protlačení </t>
    </r>
    <r>
      <rPr>
        <sz val="8"/>
        <rFont val="Arial"/>
        <family val="2"/>
        <charset val="238"/>
      </rPr>
      <t>(např.systém halfen</t>
    </r>
    <r>
      <rPr>
        <sz val="9"/>
        <rFont val="Arial"/>
        <family val="2"/>
        <charset val="238"/>
      </rPr>
      <t xml:space="preserve">)  
HDB-10/205-3/360 - ks 5 </t>
    </r>
  </si>
  <si>
    <r>
      <rPr>
        <b/>
        <sz val="9"/>
        <rFont val="Arial"/>
        <family val="2"/>
        <charset val="238"/>
      </rPr>
      <t xml:space="preserve"> - Přirážka</t>
    </r>
    <r>
      <rPr>
        <sz val="9"/>
        <rFont val="Arial"/>
        <family val="2"/>
        <charset val="238"/>
      </rPr>
      <t xml:space="preserve"> na </t>
    </r>
    <r>
      <rPr>
        <b/>
        <sz val="9"/>
        <rFont val="Arial"/>
        <family val="2"/>
        <charset val="238"/>
      </rPr>
      <t xml:space="preserve">zaoblení </t>
    </r>
    <r>
      <rPr>
        <sz val="9"/>
        <rFont val="Arial"/>
        <family val="2"/>
        <charset val="238"/>
      </rPr>
      <t xml:space="preserve">rohů ; 
 poloměr (r) 820mm, tl. 250mm, 3ks  čtvrt kruhů </t>
    </r>
  </si>
  <si>
    <r>
      <t xml:space="preserve"> - Výztuž stropů svařovanými sítěmi Kari  Q188A(6/150x6/150) -</t>
    </r>
    <r>
      <rPr>
        <sz val="9"/>
        <rFont val="Arial"/>
        <family val="2"/>
        <charset val="238"/>
      </rPr>
      <t xml:space="preserve"> podrobnosti viz v.č. </t>
    </r>
    <r>
      <rPr>
        <b/>
        <sz val="9"/>
        <rFont val="Arial"/>
        <family val="2"/>
        <charset val="238"/>
      </rPr>
      <t>D.1.2. 02</t>
    </r>
  </si>
  <si>
    <r>
      <t xml:space="preserve"> - Smykové lišty proti protlačení </t>
    </r>
    <r>
      <rPr>
        <sz val="8"/>
        <rFont val="Arial"/>
        <family val="2"/>
        <charset val="238"/>
      </rPr>
      <t xml:space="preserve">(např.systém halfen)  
</t>
    </r>
    <r>
      <rPr>
        <sz val="9"/>
        <rFont val="Arial"/>
        <family val="2"/>
        <charset val="238"/>
      </rPr>
      <t xml:space="preserve">HDB-10/175-4/450 - ks 8+3 </t>
    </r>
  </si>
  <si>
    <r>
      <t xml:space="preserve"> - Plechové hlavice vel. 0,50*0,50 + přivařené prvky (ozn. 1 - 4) + zabudování</t>
    </r>
    <r>
      <rPr>
        <sz val="9"/>
        <rFont val="Arial"/>
        <family val="2"/>
        <charset val="238"/>
      </rPr>
      <t xml:space="preserve"> 
podrobnosti viz v.č.D.1.2.04- ocelové plechy tl.cca 14mm</t>
    </r>
  </si>
  <si>
    <r>
      <t xml:space="preserve">výměry : 
</t>
    </r>
    <r>
      <rPr>
        <sz val="9"/>
        <rFont val="Arial"/>
        <family val="2"/>
        <charset val="238"/>
      </rPr>
      <t>66,60m2+po obvodě na v. 220mm (34,0m) + obvod otvoru (0,90+0,20)*2*0,22</t>
    </r>
    <r>
      <rPr>
        <b/>
        <sz val="9"/>
        <rFont val="Arial"/>
        <family val="2"/>
        <charset val="238"/>
      </rPr>
      <t xml:space="preserve"> + </t>
    </r>
    <r>
      <rPr>
        <sz val="9"/>
        <rFont val="Arial"/>
        <family val="2"/>
        <charset val="238"/>
      </rPr>
      <t>obvod pro hladký povrch (5,80m2*0,22)</t>
    </r>
  </si>
  <si>
    <r>
      <rPr>
        <b/>
        <sz val="9"/>
        <rFont val="Arial"/>
        <family val="2"/>
        <charset val="238"/>
      </rPr>
      <t xml:space="preserve"> - Přirážka</t>
    </r>
    <r>
      <rPr>
        <sz val="9"/>
        <rFont val="Arial"/>
        <family val="2"/>
        <charset val="238"/>
      </rPr>
      <t xml:space="preserve"> na </t>
    </r>
    <r>
      <rPr>
        <b/>
        <sz val="9"/>
        <rFont val="Arial"/>
        <family val="2"/>
        <charset val="238"/>
      </rPr>
      <t xml:space="preserve">zaoblení </t>
    </r>
    <r>
      <rPr>
        <sz val="9"/>
        <rFont val="Arial"/>
        <family val="2"/>
        <charset val="238"/>
      </rPr>
      <t>rohů ;  poloměr (r) 700mm, tl. 200mm, 1ks  čtvrt kruhu</t>
    </r>
  </si>
  <si>
    <r>
      <t xml:space="preserve"> - </t>
    </r>
    <r>
      <rPr>
        <b/>
        <sz val="9"/>
        <rFont val="Arial"/>
        <family val="2"/>
        <charset val="238"/>
      </rPr>
      <t>Příplatek</t>
    </r>
    <r>
      <rPr>
        <sz val="9"/>
        <rFont val="Arial"/>
        <family val="2"/>
        <charset val="238"/>
      </rPr>
      <t xml:space="preserve"> k cenám stropů  za pohledový beton hladký a rovinný pro aplikaci stěrky (pochozí plocha)</t>
    </r>
  </si>
  <si>
    <r>
      <t xml:space="preserve"> - </t>
    </r>
    <r>
      <rPr>
        <b/>
        <sz val="9"/>
        <rFont val="Arial"/>
        <family val="2"/>
        <charset val="238"/>
      </rPr>
      <t>Příplatek</t>
    </r>
    <r>
      <rPr>
        <sz val="9"/>
        <rFont val="Arial"/>
        <family val="2"/>
        <charset val="238"/>
      </rPr>
      <t xml:space="preserve"> k cenám bednění stropů a průvlaků za pohledový beton hladký (pohledové boky+podhledová plocha)</t>
    </r>
  </si>
  <si>
    <r>
      <t xml:space="preserve"> -</t>
    </r>
    <r>
      <rPr>
        <b/>
        <sz val="9"/>
        <rFont val="Arial"/>
        <family val="2"/>
        <charset val="238"/>
      </rPr>
      <t xml:space="preserve"> Přirážka</t>
    </r>
    <r>
      <rPr>
        <sz val="9"/>
        <rFont val="Arial"/>
        <family val="2"/>
        <charset val="238"/>
      </rPr>
      <t xml:space="preserve"> na procházející sloup</t>
    </r>
  </si>
  <si>
    <r>
      <t xml:space="preserve"> - Nosníky ze ŽB </t>
    </r>
    <r>
      <rPr>
        <sz val="9"/>
        <rFont val="Arial"/>
        <family val="2"/>
        <charset val="238"/>
      </rPr>
      <t>pohledového tř. C 30/37 (Průvlak P1  + P2)</t>
    </r>
  </si>
  <si>
    <r>
      <t xml:space="preserve"> - Zřízení bednění </t>
    </r>
    <r>
      <rPr>
        <sz val="9"/>
        <rFont val="Arial"/>
        <family val="2"/>
        <charset val="238"/>
      </rPr>
      <t>nosníků a průvlaků</t>
    </r>
    <r>
      <rPr>
        <b/>
        <sz val="9"/>
        <rFont val="Arial"/>
        <family val="2"/>
        <charset val="238"/>
      </rPr>
      <t xml:space="preserve"> </t>
    </r>
    <r>
      <rPr>
        <sz val="9"/>
        <rFont val="Arial"/>
        <family val="2"/>
        <charset val="238"/>
      </rPr>
      <t>bez podpěrné kce výšky přes 100 cm</t>
    </r>
  </si>
  <si>
    <r>
      <t>výměry ;</t>
    </r>
    <r>
      <rPr>
        <sz val="9"/>
        <rFont val="Arial"/>
        <family val="2"/>
        <charset val="238"/>
      </rPr>
      <t xml:space="preserve"> 0,25*7,64*2+0,25*2,39*2+0,20*(7,64+2,39)</t>
    </r>
  </si>
  <si>
    <r>
      <t xml:space="preserve"> - </t>
    </r>
    <r>
      <rPr>
        <sz val="9"/>
        <rFont val="Arial"/>
        <family val="2"/>
        <charset val="238"/>
      </rPr>
      <t xml:space="preserve">dtto, avšak </t>
    </r>
    <r>
      <rPr>
        <b/>
        <sz val="9"/>
        <rFont val="Arial"/>
        <family val="2"/>
        <charset val="238"/>
      </rPr>
      <t>odstranění</t>
    </r>
  </si>
  <si>
    <r>
      <t xml:space="preserve"> - </t>
    </r>
    <r>
      <rPr>
        <b/>
        <sz val="9"/>
        <rFont val="Arial"/>
        <family val="2"/>
        <charset val="238"/>
      </rPr>
      <t>Příplatek</t>
    </r>
    <r>
      <rPr>
        <sz val="9"/>
        <rFont val="Arial"/>
        <family val="2"/>
        <charset val="238"/>
      </rPr>
      <t xml:space="preserve"> k cenám bednění nosníků za pohled. beton</t>
    </r>
  </si>
  <si>
    <r>
      <t xml:space="preserve"> - </t>
    </r>
    <r>
      <rPr>
        <b/>
        <sz val="9"/>
        <rFont val="Arial"/>
        <family val="2"/>
        <charset val="238"/>
      </rPr>
      <t xml:space="preserve">Zřízení </t>
    </r>
    <r>
      <rPr>
        <sz val="9"/>
        <rFont val="Arial"/>
        <family val="2"/>
        <charset val="238"/>
      </rPr>
      <t>podpěrné konstrukce nosníků výšky podepření do 4 m pro nosník výšky přes 100 cm</t>
    </r>
  </si>
  <si>
    <r>
      <rPr>
        <b/>
        <sz val="9"/>
        <rFont val="Arial"/>
        <family val="2"/>
        <charset val="238"/>
      </rPr>
      <t xml:space="preserve"> - Výztuž nosníků</t>
    </r>
    <r>
      <rPr>
        <sz val="9"/>
        <rFont val="Arial"/>
        <family val="2"/>
        <charset val="238"/>
      </rPr>
      <t xml:space="preserve">, volných trámů nebo průvlaků volných trámů betonářskou ocelí </t>
    </r>
    <r>
      <rPr>
        <b/>
        <sz val="9"/>
        <rFont val="Arial"/>
        <family val="2"/>
        <charset val="238"/>
      </rPr>
      <t xml:space="preserve">B500B </t>
    </r>
    <r>
      <rPr>
        <sz val="9"/>
        <rFont val="Arial"/>
        <family val="2"/>
        <charset val="238"/>
      </rPr>
      <t xml:space="preserve">(výztuž desky nad 1 ; podrobnosti viz v.č.  D.1.2.12 </t>
    </r>
  </si>
  <si>
    <r>
      <rPr>
        <b/>
        <sz val="11"/>
        <rFont val="Calibri"/>
        <family val="2"/>
        <charset val="238"/>
      </rPr>
      <t xml:space="preserve">výměry </t>
    </r>
    <r>
      <rPr>
        <sz val="11"/>
        <rFont val="Calibri"/>
        <family val="2"/>
        <charset val="238"/>
      </rPr>
      <t xml:space="preserve">: (64,10m2 - otvor 0,20*0,9)*0,22- světlík </t>
    </r>
    <r>
      <rPr>
        <sz val="11"/>
        <rFont val="Calibri"/>
        <family val="2"/>
        <charset val="238"/>
      </rPr>
      <t>π*(2,654/2)²*0,22+stěny světlíku (0,80*0,15*π*2,654)+ atika (32,50-3,88)*0,37*0,15</t>
    </r>
  </si>
  <si>
    <r>
      <t xml:space="preserve"> - Smykové lišty proti protlačení </t>
    </r>
    <r>
      <rPr>
        <sz val="9"/>
        <rFont val="Arial"/>
        <family val="2"/>
        <charset val="238"/>
      </rPr>
      <t xml:space="preserve">(systém halfen)  HDB-10/175-3/450 - ks 7 </t>
    </r>
    <r>
      <rPr>
        <b/>
        <sz val="9"/>
        <color indexed="10"/>
        <rFont val="Arial"/>
        <family val="2"/>
        <charset val="238"/>
      </rPr>
      <t/>
    </r>
  </si>
  <si>
    <r>
      <rPr>
        <b/>
        <sz val="9"/>
        <rFont val="Arial"/>
        <family val="2"/>
        <charset val="238"/>
      </rPr>
      <t xml:space="preserve"> - Přirážka</t>
    </r>
    <r>
      <rPr>
        <sz val="9"/>
        <rFont val="Arial"/>
        <family val="2"/>
        <charset val="238"/>
      </rPr>
      <t xml:space="preserve"> na </t>
    </r>
    <r>
      <rPr>
        <b/>
        <sz val="9"/>
        <rFont val="Arial"/>
        <family val="2"/>
        <charset val="238"/>
      </rPr>
      <t xml:space="preserve">zaoblení </t>
    </r>
    <r>
      <rPr>
        <sz val="9"/>
        <rFont val="Arial"/>
        <family val="2"/>
        <charset val="238"/>
      </rPr>
      <t xml:space="preserve">rohů ;  poloměr (r) 700mm, tl. 220mm, 3ks  čtvrt kruhů </t>
    </r>
  </si>
  <si>
    <r>
      <rPr>
        <b/>
        <sz val="9"/>
        <rFont val="Arial"/>
        <family val="2"/>
        <charset val="238"/>
      </rPr>
      <t xml:space="preserve"> - Výztuž nosníků</t>
    </r>
    <r>
      <rPr>
        <sz val="9"/>
        <rFont val="Arial"/>
        <family val="2"/>
        <charset val="238"/>
      </rPr>
      <t xml:space="preserve">, volných trámů nebo průvlaků volných trámů betonářskou ocelí </t>
    </r>
    <r>
      <rPr>
        <b/>
        <sz val="9"/>
        <rFont val="Arial"/>
        <family val="2"/>
        <charset val="238"/>
      </rPr>
      <t xml:space="preserve">B500B </t>
    </r>
    <r>
      <rPr>
        <sz val="9"/>
        <rFont val="Arial"/>
        <family val="2"/>
        <charset val="238"/>
      </rPr>
      <t>(výztuž desky nad 1</t>
    </r>
  </si>
  <si>
    <r>
      <rPr>
        <b/>
        <sz val="9"/>
        <rFont val="Arial"/>
        <family val="2"/>
        <charset val="238"/>
      </rPr>
      <t>Zřízení kruhového</t>
    </r>
    <r>
      <rPr>
        <sz val="9"/>
        <rFont val="Arial"/>
        <family val="2"/>
        <charset val="238"/>
      </rPr>
      <t xml:space="preserve"> oboustranného bednění </t>
    </r>
    <r>
      <rPr>
        <b/>
        <sz val="9"/>
        <rFont val="Arial"/>
        <family val="2"/>
        <charset val="238"/>
      </rPr>
      <t>rohů</t>
    </r>
    <r>
      <rPr>
        <sz val="9"/>
        <rFont val="Arial"/>
        <family val="2"/>
        <charset val="238"/>
      </rPr>
      <t xml:space="preserve"> nosných stěn 
</t>
    </r>
    <r>
      <rPr>
        <b/>
        <sz val="9"/>
        <rFont val="Arial"/>
        <family val="2"/>
        <charset val="238"/>
      </rPr>
      <t xml:space="preserve"> r do 1m</t>
    </r>
    <r>
      <rPr>
        <sz val="9"/>
        <rFont val="Arial"/>
        <family val="2"/>
        <charset val="238"/>
      </rPr>
      <t xml:space="preserve"> včetně.</t>
    </r>
  </si>
  <si>
    <r>
      <rPr>
        <b/>
        <sz val="9"/>
        <rFont val="Arial"/>
        <family val="2"/>
        <charset val="238"/>
      </rPr>
      <t>výměry :</t>
    </r>
    <r>
      <rPr>
        <sz val="9"/>
        <rFont val="Arial"/>
        <family val="2"/>
        <charset val="238"/>
      </rPr>
      <t xml:space="preserve">
vnitřní poloměr (r) 500mm -  2ks  čtvrt kruhů 
3000mm, dl. 800mm </t>
    </r>
  </si>
  <si>
    <r>
      <t xml:space="preserve"> -</t>
    </r>
    <r>
      <rPr>
        <b/>
        <sz val="9"/>
        <rFont val="Arial"/>
        <family val="2"/>
        <charset val="238"/>
      </rPr>
      <t xml:space="preserve"> Příplatek k cenám stěn  vnitřních </t>
    </r>
    <r>
      <rPr>
        <sz val="9"/>
        <rFont val="Arial"/>
        <family val="2"/>
        <charset val="238"/>
      </rPr>
      <t xml:space="preserve">za pohledový beton s výrazným otiskem  vertikálních prken a dále </t>
    </r>
    <r>
      <rPr>
        <b/>
        <sz val="9"/>
        <rFont val="Arial"/>
        <family val="2"/>
        <charset val="238"/>
      </rPr>
      <t>viz  poznámka č.2 Úvodu  a dále podrobnosti viz   Technická zpráva strana 6 -9.</t>
    </r>
  </si>
  <si>
    <r>
      <rPr>
        <b/>
        <sz val="9"/>
        <rFont val="Arial"/>
        <family val="2"/>
        <charset val="238"/>
      </rPr>
      <t xml:space="preserve">Příplatek </t>
    </r>
    <r>
      <rPr>
        <sz val="9"/>
        <rFont val="Arial"/>
        <family val="2"/>
        <charset val="238"/>
      </rPr>
      <t xml:space="preserve">k cenám bednění stěn za </t>
    </r>
    <r>
      <rPr>
        <b/>
        <sz val="9"/>
        <rFont val="Arial"/>
        <family val="2"/>
        <charset val="238"/>
      </rPr>
      <t>pohledový beton hladký  (matrice polyuretanová) viz  poznámka č.3 Úvodu</t>
    </r>
    <r>
      <rPr>
        <sz val="9"/>
        <rFont val="Arial"/>
        <family val="2"/>
        <charset val="238"/>
      </rPr>
      <t xml:space="preserve"> a dále</t>
    </r>
    <r>
      <rPr>
        <b/>
        <sz val="9"/>
        <rFont val="Arial"/>
        <family val="2"/>
        <charset val="238"/>
      </rPr>
      <t xml:space="preserve"> . podrobnosti </t>
    </r>
    <r>
      <rPr>
        <sz val="9"/>
        <rFont val="Arial"/>
        <family val="2"/>
        <charset val="238"/>
      </rPr>
      <t xml:space="preserve">viz </t>
    </r>
    <r>
      <rPr>
        <b/>
        <sz val="9"/>
        <rFont val="Arial"/>
        <family val="2"/>
        <charset val="238"/>
      </rPr>
      <t>T</t>
    </r>
    <r>
      <rPr>
        <sz val="9"/>
        <rFont val="Arial"/>
        <family val="2"/>
        <charset val="238"/>
      </rPr>
      <t xml:space="preserve">echnická </t>
    </r>
    <r>
      <rPr>
        <b/>
        <sz val="9"/>
        <rFont val="Arial"/>
        <family val="2"/>
        <charset val="238"/>
      </rPr>
      <t>z</t>
    </r>
    <r>
      <rPr>
        <sz val="9"/>
        <rFont val="Arial"/>
        <family val="2"/>
        <charset val="238"/>
      </rPr>
      <t>práva strana 6a 9. (podhledová plocha vnitřní - ve věži) ; výměra : 6,0bm*v. 3,00bm</t>
    </r>
  </si>
  <si>
    <r>
      <t>výměra : v. 2,40* 2,80m2-</t>
    </r>
    <r>
      <rPr>
        <sz val="9"/>
        <rFont val="Arial"/>
        <family val="2"/>
        <charset val="238"/>
      </rPr>
      <t>(odpočet otvoru) dl.2,20*v.1,35*š.0,20</t>
    </r>
  </si>
  <si>
    <r>
      <t>výměra : v.5,30* 4,26m2-</t>
    </r>
    <r>
      <rPr>
        <sz val="9"/>
        <rFont val="Arial"/>
        <family val="2"/>
        <charset val="238"/>
      </rPr>
      <t>(odpočet otvorů) dl.0,835*v.5,20*š.0,20*2 - dl. 0,20*v.5,20*š.0,20</t>
    </r>
    <r>
      <rPr>
        <b/>
        <sz val="9"/>
        <rFont val="Arial"/>
        <family val="2"/>
        <charset val="238"/>
      </rPr>
      <t>-</t>
    </r>
    <r>
      <rPr>
        <sz val="9"/>
        <rFont val="Arial"/>
        <family val="2"/>
        <charset val="238"/>
      </rPr>
      <t xml:space="preserve"> dl.3,15*v.0,20*š.0,20</t>
    </r>
  </si>
  <si>
    <r>
      <rPr>
        <b/>
        <sz val="9"/>
        <rFont val="Arial"/>
        <family val="2"/>
        <charset val="238"/>
      </rPr>
      <t>výměra : v. 2,70 * 2,80m2</t>
    </r>
    <r>
      <rPr>
        <sz val="9"/>
        <rFont val="Arial"/>
        <family val="2"/>
        <charset val="238"/>
      </rPr>
      <t>- (odpočet otvorů) dl 2,20*v.2,70*š.0,2</t>
    </r>
  </si>
  <si>
    <r>
      <rPr>
        <b/>
        <sz val="9"/>
        <rFont val="Arial"/>
        <family val="2"/>
        <charset val="238"/>
      </rPr>
      <t>výměry :</t>
    </r>
    <r>
      <rPr>
        <sz val="9"/>
        <rFont val="Arial"/>
        <family val="2"/>
        <charset val="238"/>
      </rPr>
      <t xml:space="preserve">
vnitřní poloměr (r) 500mm -  
2ks  čtvrt kruhů (1ks- v.2700mm+1ks- 2400mm)
 výměra ; dl. 800mm v.(2,70+2,40)</t>
    </r>
  </si>
  <si>
    <r>
      <t xml:space="preserve">Příplatek k cenám stěn  vnitřních za pohledový beton s výrazným otiskem vertikálních prken  </t>
    </r>
    <r>
      <rPr>
        <b/>
        <sz val="9"/>
        <rFont val="Arial"/>
        <family val="2"/>
        <charset val="238"/>
      </rPr>
      <t>viz  pozn</t>
    </r>
    <r>
      <rPr>
        <sz val="9"/>
        <rFont val="Arial"/>
        <family val="2"/>
        <charset val="238"/>
      </rPr>
      <t>ámka</t>
    </r>
    <r>
      <rPr>
        <b/>
        <sz val="9"/>
        <rFont val="Arial"/>
        <family val="2"/>
        <charset val="238"/>
      </rPr>
      <t xml:space="preserve"> č.2 Úvodu </t>
    </r>
    <r>
      <rPr>
        <sz val="9"/>
        <rFont val="Arial"/>
        <family val="2"/>
        <charset val="238"/>
      </rPr>
      <t>a dále</t>
    </r>
    <r>
      <rPr>
        <b/>
        <sz val="9"/>
        <rFont val="Arial"/>
        <family val="2"/>
        <charset val="238"/>
      </rPr>
      <t>. Podrobnosti viz T</t>
    </r>
    <r>
      <rPr>
        <sz val="9"/>
        <rFont val="Arial"/>
        <family val="2"/>
        <charset val="238"/>
      </rPr>
      <t>echnická</t>
    </r>
    <r>
      <rPr>
        <b/>
        <sz val="9"/>
        <rFont val="Arial"/>
        <family val="2"/>
        <charset val="238"/>
      </rPr>
      <t xml:space="preserve"> z</t>
    </r>
    <r>
      <rPr>
        <sz val="9"/>
        <rFont val="Arial"/>
        <family val="2"/>
        <charset val="238"/>
      </rPr>
      <t>práva</t>
    </r>
    <r>
      <rPr>
        <b/>
        <sz val="9"/>
        <rFont val="Arial"/>
        <family val="2"/>
        <charset val="238"/>
      </rPr>
      <t xml:space="preserve"> strana 6 a 9.</t>
    </r>
  </si>
  <si>
    <r>
      <rPr>
        <b/>
        <sz val="9"/>
        <rFont val="Arial"/>
        <family val="2"/>
        <charset val="238"/>
      </rPr>
      <t>Příplatek k cenám bednění stěn</t>
    </r>
    <r>
      <rPr>
        <sz val="9"/>
        <rFont val="Arial"/>
        <family val="2"/>
        <charset val="238"/>
      </rPr>
      <t xml:space="preserve"> za pohledový beton hladký (podhledová plocha vnitřní - ve věži)) výměra : 6,0bm*5,74</t>
    </r>
  </si>
  <si>
    <r>
      <rPr>
        <b/>
        <sz val="9"/>
        <rFont val="Arial"/>
        <family val="2"/>
        <charset val="238"/>
      </rPr>
      <t xml:space="preserve">Příplatek </t>
    </r>
    <r>
      <rPr>
        <sz val="9"/>
        <rFont val="Arial"/>
        <family val="2"/>
        <charset val="238"/>
      </rPr>
      <t xml:space="preserve">k cenám bednění stěn za </t>
    </r>
    <r>
      <rPr>
        <b/>
        <sz val="9"/>
        <rFont val="Arial"/>
        <family val="2"/>
        <charset val="238"/>
      </rPr>
      <t>pohledový beton hladký   viz  poznámka č.3 Úvodu</t>
    </r>
    <r>
      <rPr>
        <sz val="9"/>
        <rFont val="Arial"/>
        <family val="2"/>
        <charset val="238"/>
      </rPr>
      <t xml:space="preserve"> a dále</t>
    </r>
    <r>
      <rPr>
        <b/>
        <sz val="9"/>
        <rFont val="Arial"/>
        <family val="2"/>
        <charset val="238"/>
      </rPr>
      <t xml:space="preserve"> . </t>
    </r>
    <r>
      <rPr>
        <sz val="9"/>
        <rFont val="Arial"/>
        <family val="2"/>
        <charset val="238"/>
      </rPr>
      <t xml:space="preserve">Podrobnosti viz </t>
    </r>
    <r>
      <rPr>
        <b/>
        <sz val="9"/>
        <rFont val="Arial"/>
        <family val="2"/>
        <charset val="238"/>
      </rPr>
      <t>Technická zpráva strana 6a 9</t>
    </r>
    <r>
      <rPr>
        <sz val="9"/>
        <rFont val="Arial"/>
        <family val="2"/>
        <charset val="238"/>
      </rPr>
      <t>. (podhledová plocha vnitřní - ve věži)
výměra : 2,68*2,52</t>
    </r>
  </si>
  <si>
    <r>
      <rPr>
        <b/>
        <sz val="9"/>
        <rFont val="Arial"/>
        <family val="2"/>
        <charset val="238"/>
      </rPr>
      <t>Příplatek k cenám bednění stěn</t>
    </r>
    <r>
      <rPr>
        <sz val="9"/>
        <rFont val="Arial"/>
        <family val="2"/>
        <charset val="238"/>
      </rPr>
      <t xml:space="preserve"> za pohledový beton hladký (podhledová plocha vnitřní - ve věži) ;  </t>
    </r>
  </si>
  <si>
    <r>
      <t xml:space="preserve">podrobnosti viz </t>
    </r>
    <r>
      <rPr>
        <b/>
        <sz val="9"/>
        <rFont val="Arial"/>
        <family val="2"/>
        <charset val="238"/>
      </rPr>
      <t xml:space="preserve">v.č. D.1.2. 21 </t>
    </r>
    <r>
      <rPr>
        <sz val="9"/>
        <rFont val="Arial"/>
        <family val="2"/>
        <charset val="238"/>
      </rPr>
      <t xml:space="preserve">
 výztuž stěn v.č. D.1.2. 21 - výztuž stěn a desky věže</t>
    </r>
  </si>
  <si>
    <r>
      <rPr>
        <b/>
        <sz val="9"/>
        <rFont val="Arial"/>
        <family val="2"/>
        <charset val="238"/>
      </rPr>
      <t>Příplatek k cenám bednění stěn</t>
    </r>
    <r>
      <rPr>
        <sz val="9"/>
        <rFont val="Arial"/>
        <family val="2"/>
        <charset val="238"/>
      </rPr>
      <t xml:space="preserve"> za pohledový beton hladký </t>
    </r>
  </si>
  <si>
    <r>
      <t xml:space="preserve">od úrovně  -3,070 až </t>
    </r>
    <r>
      <rPr>
        <sz val="10"/>
        <rFont val="Calibri"/>
        <family val="2"/>
        <charset val="238"/>
      </rPr>
      <t>±0,00, výměra: cca  stupnice 4,20m2*0,10+podstutpnice (1,075+1,065+1,335+1,180+1,01+1,005+1,155+1,365+1,075+1,00+1,055+1,305+1,195+1,020+1,01+1,140)*0,192*0,1</t>
    </r>
  </si>
  <si>
    <r>
      <t xml:space="preserve">výměra: od úrovně </t>
    </r>
    <r>
      <rPr>
        <sz val="10"/>
        <rFont val="Calibri"/>
        <family val="2"/>
        <charset val="238"/>
      </rPr>
      <t>±0,00 až +2,800, výměra: cca stupnice 4,20m2*0,10+podesta 1,20m2*0,20+ podstupnice (1,065+1,335+1,180+1,01+1,005+1,155+1,365+1,075+1,00+1,055+1,305+1,195+1,020+1,01+1,140)*0,192*0,1</t>
    </r>
  </si>
  <si>
    <r>
      <t>výměra: od úrovně +2,800</t>
    </r>
    <r>
      <rPr>
        <sz val="10"/>
        <rFont val="Calibri"/>
        <family val="2"/>
        <charset val="238"/>
      </rPr>
      <t xml:space="preserve"> až +5,812, výměra: cca stupnice 4,40m2*0,10+podesta 1,4m2*0,20+ podstupnice (1,335+1,180+1,01+1,005+1,155+1,365+1,075+1,00+1,055+1,305+1,195+1,020+1,01)*0,192*0,1</t>
    </r>
  </si>
  <si>
    <r>
      <t xml:space="preserve">výměra: od úrovně </t>
    </r>
    <r>
      <rPr>
        <sz val="10"/>
        <rFont val="Calibri"/>
        <family val="2"/>
        <charset val="238"/>
      </rPr>
      <t>5,980 až+8,256, výměra: cca stupnice 3,70m2*0,10+podesta1,00m2 *0,20 + podstupnice (1,070+1,335+1,180+1,01+1,005+1,155+1,365+1,075+1,00+1,055+1,305+1,195+1,020+1,01+1,140+1,400)*0,192*0,1</t>
    </r>
  </si>
  <si>
    <r>
      <t>výměra: od úrovně +8,256</t>
    </r>
    <r>
      <rPr>
        <sz val="10"/>
        <rFont val="Calibri"/>
        <family val="2"/>
        <charset val="238"/>
      </rPr>
      <t xml:space="preserve"> až +10,700, výměra: cca stupnice 3,70m2*0,10+ podesta 2,00m2*0,20+ podstupnice (1,090+1,00+1,065+1,335+1,180+1,01+1,005+1,155+1,365+1,075+1,00+1,055+1,305)*0,192*0,1</t>
    </r>
  </si>
  <si>
    <r>
      <t xml:space="preserve"> - </t>
    </r>
    <r>
      <rPr>
        <b/>
        <sz val="10"/>
        <rFont val="Arial"/>
        <family val="2"/>
        <charset val="238"/>
      </rPr>
      <t xml:space="preserve">Zřízení bednění </t>
    </r>
    <r>
      <rPr>
        <sz val="10"/>
        <rFont val="Arial"/>
        <family val="2"/>
        <charset val="238"/>
      </rPr>
      <t xml:space="preserve"> schodišťových konstrukcí  v do 4 m</t>
    </r>
  </si>
  <si>
    <r>
      <t xml:space="preserve"> od úrovně  -3,070 až </t>
    </r>
    <r>
      <rPr>
        <sz val="10"/>
        <rFont val="Calibri"/>
        <family val="2"/>
        <charset val="238"/>
      </rPr>
      <t>±0,00, výměra: cca (stupnice 4,20m2+podstutpnice (1,075+1,065+1,335+1,180+1,01+1,005+1,155+1,365+1,075+1,00+1,055+1,305+1,195+1,020+1,01+1,140)*0,192)*2</t>
    </r>
  </si>
  <si>
    <r>
      <t xml:space="preserve">od úrovně </t>
    </r>
    <r>
      <rPr>
        <sz val="10"/>
        <rFont val="Calibri"/>
        <family val="2"/>
        <charset val="238"/>
      </rPr>
      <t>±0,00 až +2,800, výměra: cca (stupnice 4,20m2+podesta 1,20m2+ podstupnice (1,065+1,335+1,180+1,01+1,005+1,155+1,365+1,075+1,00+1,055+1,305+1,195+1,020+1,01+1,140)*0,192)*2</t>
    </r>
  </si>
  <si>
    <r>
      <t xml:space="preserve"> od úrovně +2,800</t>
    </r>
    <r>
      <rPr>
        <sz val="10"/>
        <rFont val="Calibri"/>
        <family val="2"/>
        <charset val="238"/>
      </rPr>
      <t xml:space="preserve"> až +5,980, výměra: cca (stupnice 4,40m2+podesta 1,4m2+ podstupnice (1,335+1,180+1,01+1,005+1,155+1,365+1,075+1,00+1,055+1,305+1,195+1,020+1,01)*0,192)*2</t>
    </r>
  </si>
  <si>
    <r>
      <t xml:space="preserve">od úrovně </t>
    </r>
    <r>
      <rPr>
        <sz val="10"/>
        <rFont val="Calibri"/>
        <family val="2"/>
        <charset val="238"/>
      </rPr>
      <t>5,980 až -------, výměra: cca (stupnice 3,70m2+podesta1,00m2 + podstupnice (1,070+1,335+1,180+1,01+1,005+1,155+1,365+1,075+1,00+1,055+1,305+1,195+1,020+1,01+1,140+1,400)*0,192)*2</t>
    </r>
  </si>
  <si>
    <r>
      <t>od úrovně -------</t>
    </r>
    <r>
      <rPr>
        <sz val="10"/>
        <rFont val="Calibri"/>
        <family val="2"/>
        <charset val="238"/>
      </rPr>
      <t xml:space="preserve"> až +10,700 , výměra: cca (stupnice 3,70m2+ podesta 2,00m2+ podstupnice (1,090+1,00+1,065+1,335+1,180+1,01+1,005+1,155+1,365+1,075+1,00+1,055+1,305)*0,192)*2</t>
    </r>
  </si>
  <si>
    <r>
      <t xml:space="preserve"> - </t>
    </r>
    <r>
      <rPr>
        <b/>
        <sz val="10"/>
        <rFont val="Arial"/>
        <family val="2"/>
        <charset val="238"/>
      </rPr>
      <t>Dtto, avšak odstranění</t>
    </r>
  </si>
  <si>
    <r>
      <rPr>
        <b/>
        <sz val="10"/>
        <rFont val="Arial"/>
        <family val="2"/>
        <charset val="238"/>
      </rPr>
      <t xml:space="preserve"> - Příplatek </t>
    </r>
    <r>
      <rPr>
        <sz val="10"/>
        <rFont val="Arial"/>
        <family val="2"/>
        <charset val="238"/>
      </rPr>
      <t xml:space="preserve">k cenám bednění stěn za </t>
    </r>
    <r>
      <rPr>
        <b/>
        <sz val="10"/>
        <rFont val="Arial"/>
        <family val="2"/>
        <charset val="238"/>
      </rPr>
      <t>pohledový beton hladký  (matrice polyuretanová) viz  poznámka č.3 Úvodu</t>
    </r>
    <r>
      <rPr>
        <sz val="10"/>
        <rFont val="Arial"/>
        <family val="2"/>
        <charset val="238"/>
      </rPr>
      <t xml:space="preserve"> a dále</t>
    </r>
    <r>
      <rPr>
        <b/>
        <sz val="10"/>
        <rFont val="Arial"/>
        <family val="2"/>
        <charset val="238"/>
      </rPr>
      <t xml:space="preserve"> . Podrobnosti </t>
    </r>
    <r>
      <rPr>
        <sz val="10"/>
        <rFont val="Arial"/>
        <family val="2"/>
        <charset val="238"/>
      </rPr>
      <t xml:space="preserve">viz </t>
    </r>
    <r>
      <rPr>
        <b/>
        <sz val="10"/>
        <rFont val="Arial"/>
        <family val="2"/>
        <charset val="238"/>
      </rPr>
      <t>T</t>
    </r>
    <r>
      <rPr>
        <sz val="10"/>
        <rFont val="Arial"/>
        <family val="2"/>
        <charset val="238"/>
      </rPr>
      <t xml:space="preserve">echnická </t>
    </r>
    <r>
      <rPr>
        <b/>
        <sz val="10"/>
        <rFont val="Arial"/>
        <family val="2"/>
        <charset val="238"/>
      </rPr>
      <t>z</t>
    </r>
    <r>
      <rPr>
        <sz val="10"/>
        <rFont val="Arial"/>
        <family val="2"/>
        <charset val="238"/>
      </rPr>
      <t>práva strana 6a 9. (podhledová plocha vnitřní - ve věži)</t>
    </r>
  </si>
  <si>
    <r>
      <t xml:space="preserve">Výztuž  </t>
    </r>
    <r>
      <rPr>
        <sz val="10"/>
        <rFont val="Arial"/>
        <family val="2"/>
        <charset val="238"/>
      </rPr>
      <t>schodišťových konstrukcí (200kg/m3)</t>
    </r>
  </si>
  <si>
    <r>
      <t xml:space="preserve"> - Cementová stěrka n</t>
    </r>
    <r>
      <rPr>
        <sz val="10"/>
        <rFont val="Arial"/>
        <family val="2"/>
        <charset val="238"/>
      </rPr>
      <t>a schodišti, kompletní provedení,</t>
    </r>
  </si>
  <si>
    <r>
      <t xml:space="preserve"> od úrovně  -3,070 až </t>
    </r>
    <r>
      <rPr>
        <sz val="10"/>
        <rFont val="Calibri"/>
        <family val="2"/>
        <charset val="238"/>
      </rPr>
      <t>±0,00, výměra: cca (stupnice 4,20m2+podstutpnice (1,075+1,065+1,335+1,180+1,01+1,005+1,155+1,365+1,075+1,00+1,055+1,305+1,195+1,020+1,01+1,140)*0,192)+podesta 1,20m2</t>
    </r>
  </si>
  <si>
    <r>
      <t xml:space="preserve">od úrovně </t>
    </r>
    <r>
      <rPr>
        <sz val="10"/>
        <rFont val="Calibri"/>
        <family val="2"/>
        <charset val="238"/>
      </rPr>
      <t>±0,00 až +2,800, výměra: cca (stupnice 4,20m2+podesta 1,20m2+ podstupnice (1,065+1,335+1,180+1,01+1,005+1,155+1,365+1,075+1,00+1,055+1,305+1,195+1,020+1,01+1,140)*0,192)</t>
    </r>
  </si>
  <si>
    <r>
      <t xml:space="preserve"> od úrovně +2,800</t>
    </r>
    <r>
      <rPr>
        <sz val="10"/>
        <rFont val="Calibri"/>
        <family val="2"/>
        <charset val="238"/>
      </rPr>
      <t xml:space="preserve"> až +5,812, výměra: cca (stupnice 4,40m2+podesta 1,4m2+ podstupnice (1,335+1,180+1,01+1,005+1,155+1,365+1,075+1,00+1,055+1,305+1,195+1,020+1,01)*0,192)</t>
    </r>
  </si>
  <si>
    <r>
      <t xml:space="preserve">od úrovně </t>
    </r>
    <r>
      <rPr>
        <sz val="10"/>
        <rFont val="Calibri"/>
        <family val="2"/>
        <charset val="238"/>
      </rPr>
      <t>5,812 až 8,256, výměra: cca (stupnice 3,70m2+podesta1,00m2 + podstupnice (1,070+1,335+1,180+1,01+1,005+1,155+1,365+1,075+1,00+1,055+1,305+1,195+1,020+1,01+1,140+1,400)*0,192)</t>
    </r>
  </si>
  <si>
    <r>
      <t>od úrovně 8,256</t>
    </r>
    <r>
      <rPr>
        <sz val="10"/>
        <rFont val="Calibri"/>
        <family val="2"/>
        <charset val="238"/>
      </rPr>
      <t xml:space="preserve"> až +10,700 , výměra: cca (stupnice 3,70m2+ podesta 2,00m2+ podstupnice (1,090+1,00+1,065+1,335+1,180+1,01+1,005+1,155+1,365+1,075+1,00+1,055+1,305)*0,192)</t>
    </r>
  </si>
  <si>
    <r>
      <t xml:space="preserve"> - Prostupy žlb konstrukcí  </t>
    </r>
    <r>
      <rPr>
        <sz val="10"/>
        <rFont val="Calibri"/>
        <family val="2"/>
        <charset val="238"/>
      </rPr>
      <t>vodotěsný, těsnicí manžeta s asfaltovou izolační manžetou, určená pro těsné prostupy instalací hydroizolací spodní stavby/základové desky, včetně chráničky vkládané do bednění, výměra: cca</t>
    </r>
  </si>
  <si>
    <r>
      <t xml:space="preserve"> - Prostupy žlb konstrukcí a</t>
    </r>
    <r>
      <rPr>
        <sz val="10"/>
        <rFont val="Calibri"/>
        <family val="2"/>
        <charset val="238"/>
      </rPr>
      <t xml:space="preserve"> konstrukčními skladbami vodotěsný, prostup pro potrubí, včetně těsnící manžety a chráničky vkládané do bednění, výměra: cca</t>
    </r>
  </si>
  <si>
    <r>
      <rPr>
        <b/>
        <sz val="9"/>
        <rFont val="Arial"/>
        <family val="2"/>
        <charset val="238"/>
      </rPr>
      <t xml:space="preserve"> - Zakládací vrstva příček </t>
    </r>
    <r>
      <rPr>
        <sz val="9"/>
        <rFont val="Arial"/>
        <family val="2"/>
        <charset val="238"/>
      </rPr>
      <t>tl 115 mm z vápenopískových vyrovnávacích tvárnic</t>
    </r>
  </si>
  <si>
    <r>
      <rPr>
        <b/>
        <sz val="9"/>
        <rFont val="Arial"/>
        <family val="2"/>
        <charset val="238"/>
      </rPr>
      <t xml:space="preserve"> - Příčka z vápenopískových</t>
    </r>
    <r>
      <rPr>
        <sz val="9"/>
        <rFont val="Arial"/>
        <family val="2"/>
        <charset val="238"/>
      </rPr>
      <t xml:space="preserve"> přesných plných tvárnic 8DF do P15 tl 115 mm</t>
    </r>
  </si>
  <si>
    <r>
      <t xml:space="preserve"> - Zdivo z </t>
    </r>
    <r>
      <rPr>
        <b/>
        <sz val="9"/>
        <rFont val="Arial"/>
        <family val="2"/>
        <charset val="238"/>
      </rPr>
      <t>vápenopískových</t>
    </r>
    <r>
      <rPr>
        <sz val="9"/>
        <rFont val="Arial"/>
        <family val="2"/>
        <charset val="238"/>
      </rPr>
      <t> přesných plných </t>
    </r>
    <r>
      <rPr>
        <b/>
        <sz val="9"/>
        <rFont val="Arial"/>
        <family val="2"/>
        <charset val="238"/>
      </rPr>
      <t>tvárnic</t>
    </r>
    <r>
      <rPr>
        <sz val="9"/>
        <rFont val="Arial"/>
        <family val="2"/>
        <charset val="238"/>
      </rPr>
      <t xml:space="preserve"> 7DF přes P15 do P25 tl 200 mm -1.PP -  zděný </t>
    </r>
    <r>
      <rPr>
        <b/>
        <sz val="9"/>
        <rFont val="Arial"/>
        <family val="2"/>
        <charset val="238"/>
      </rPr>
      <t>parape</t>
    </r>
    <r>
      <rPr>
        <sz val="9"/>
        <rFont val="Arial"/>
        <family val="2"/>
        <charset val="238"/>
      </rPr>
      <t>t v. 700mm (stavební stěhovací otvor). Výměra ; 1,20*0,70</t>
    </r>
  </si>
  <si>
    <r>
      <t xml:space="preserve"> - Předstěna </t>
    </r>
    <r>
      <rPr>
        <sz val="9"/>
        <rFont val="Arial"/>
        <family val="2"/>
        <charset val="238"/>
      </rPr>
      <t>(u geberitů m.č. 0.5+ 0.6+0.3</t>
    </r>
    <r>
      <rPr>
        <b/>
        <sz val="9"/>
        <rFont val="Arial"/>
        <family val="2"/>
        <charset val="238"/>
      </rPr>
      <t xml:space="preserve">) z tvárnic  </t>
    </r>
    <r>
      <rPr>
        <sz val="9"/>
        <rFont val="Arial"/>
        <family val="2"/>
        <charset val="238"/>
      </rPr>
      <t> </t>
    </r>
    <r>
      <rPr>
        <b/>
        <sz val="9"/>
        <rFont val="Arial"/>
        <family val="2"/>
        <charset val="238"/>
      </rPr>
      <t>vápenopískových</t>
    </r>
    <r>
      <rPr>
        <sz val="9"/>
        <rFont val="Arial"/>
        <family val="2"/>
        <charset val="238"/>
      </rPr>
      <t> přesných plných do P15, tl 100 mm</t>
    </r>
  </si>
  <si>
    <r>
      <t xml:space="preserve"> (0,95+1,135)*</t>
    </r>
    <r>
      <rPr>
        <sz val="7"/>
        <rFont val="Arial"/>
        <family val="2"/>
        <charset val="238"/>
      </rPr>
      <t>cca v.</t>
    </r>
    <r>
      <rPr>
        <sz val="9"/>
        <rFont val="Arial"/>
        <family val="2"/>
        <charset val="238"/>
      </rPr>
      <t>(0,19+2,50)+(0,90*v.0,60)</t>
    </r>
  </si>
  <si>
    <t xml:space="preserve"> -  pod VZT m.č.</t>
  </si>
  <si>
    <r>
      <t xml:space="preserve"> - </t>
    </r>
    <r>
      <rPr>
        <b/>
        <sz val="9"/>
        <rFont val="Arial"/>
        <family val="2"/>
        <charset val="238"/>
      </rPr>
      <t xml:space="preserve">Celoplošné vyrovnání </t>
    </r>
    <r>
      <rPr>
        <sz val="9"/>
        <rFont val="Arial"/>
        <family val="2"/>
        <charset val="238"/>
      </rPr>
      <t xml:space="preserve">povrchu (beton a pohledové vápenopískové zdivo) vhodnou omítkou, povrch zbaven nečistot a mastnoty před provedením nátěru modifikovanou </t>
    </r>
    <r>
      <rPr>
        <b/>
        <sz val="9"/>
        <rFont val="Arial"/>
        <family val="2"/>
        <charset val="238"/>
      </rPr>
      <t>cementovou</t>
    </r>
    <r>
      <rPr>
        <sz val="9"/>
        <rFont val="Arial"/>
        <family val="2"/>
        <charset val="238"/>
      </rPr>
      <t> </t>
    </r>
    <r>
      <rPr>
        <b/>
        <sz val="9"/>
        <rFont val="Arial"/>
        <family val="2"/>
        <charset val="238"/>
      </rPr>
      <t>stěrkou</t>
    </r>
    <r>
      <rPr>
        <sz val="9"/>
        <rFont val="Arial"/>
        <family val="2"/>
        <charset val="238"/>
      </rPr>
      <t xml:space="preserve"> cca tl do 3 mm </t>
    </r>
  </si>
  <si>
    <r>
      <t xml:space="preserve"> - </t>
    </r>
    <r>
      <rPr>
        <b/>
        <sz val="9"/>
        <rFont val="Arial"/>
        <family val="2"/>
        <charset val="238"/>
      </rPr>
      <t>Sádrová</t>
    </r>
    <r>
      <rPr>
        <sz val="9"/>
        <rFont val="Arial"/>
        <family val="2"/>
        <charset val="238"/>
      </rPr>
      <t xml:space="preserve"> omítka hladká jednovrstvá vnitřních stropů rovných nanášená ručně</t>
    </r>
  </si>
  <si>
    <r>
      <t xml:space="preserve"> - Příplatek</t>
    </r>
    <r>
      <rPr>
        <sz val="9"/>
        <rFont val="Arial"/>
        <family val="2"/>
        <charset val="238"/>
      </rPr>
      <t> k omítce za provádění zaoblených ploch poloměru přes 100 mm</t>
    </r>
  </si>
  <si>
    <r>
      <rPr>
        <b/>
        <sz val="10"/>
        <rFont val="Calibri"/>
        <family val="2"/>
        <charset val="238"/>
      </rPr>
      <t xml:space="preserve">Rohové lišty </t>
    </r>
    <r>
      <rPr>
        <sz val="10"/>
        <rFont val="Calibri"/>
        <family val="2"/>
        <charset val="238"/>
      </rPr>
      <t>kovové</t>
    </r>
    <r>
      <rPr>
        <b/>
        <sz val="10"/>
        <rFont val="Calibri"/>
        <family val="2"/>
        <charset val="238"/>
      </rPr>
      <t xml:space="preserve"> </t>
    </r>
    <r>
      <rPr>
        <sz val="10"/>
        <rFont val="Calibri"/>
        <family val="2"/>
        <charset val="238"/>
      </rPr>
      <t>pod omítku včetně kotvení, výměra: cca 15,20+13,96+15,25+8,1</t>
    </r>
  </si>
  <si>
    <r>
      <t xml:space="preserve"> -</t>
    </r>
    <r>
      <rPr>
        <b/>
        <sz val="9"/>
        <rFont val="Arial"/>
        <family val="2"/>
        <charset val="238"/>
      </rPr>
      <t xml:space="preserve"> Vyčištění budov </t>
    </r>
    <r>
      <rPr>
        <sz val="9"/>
        <rFont val="Arial"/>
        <family val="2"/>
        <charset val="238"/>
      </rPr>
      <t xml:space="preserve"> občanské výstavby při výšce podlaží 
do 4 m. výměra : 7,92*9,84</t>
    </r>
  </si>
  <si>
    <r>
      <rPr>
        <b/>
        <sz val="10"/>
        <rFont val="Calibri"/>
        <family val="2"/>
        <charset val="238"/>
      </rPr>
      <t>Gumové rýhované podložky</t>
    </r>
    <r>
      <rPr>
        <sz val="10"/>
        <rFont val="Calibri"/>
        <family val="2"/>
        <charset val="238"/>
      </rPr>
      <t xml:space="preserve"> pod VZT jednotky, kompletní provedení</t>
    </r>
  </si>
  <si>
    <r>
      <t xml:space="preserve"> -</t>
    </r>
    <r>
      <rPr>
        <sz val="9"/>
        <rFont val="Arial"/>
        <family val="2"/>
        <charset val="238"/>
      </rPr>
      <t xml:space="preserve"> </t>
    </r>
    <r>
      <rPr>
        <b/>
        <sz val="9"/>
        <rFont val="Arial"/>
        <family val="2"/>
        <charset val="238"/>
      </rPr>
      <t xml:space="preserve">Přesun hmot </t>
    </r>
    <r>
      <rPr>
        <sz val="9"/>
        <rFont val="Arial"/>
        <family val="2"/>
        <charset val="238"/>
      </rPr>
      <t>pro budovy monolitické v do 6 m</t>
    </r>
  </si>
  <si>
    <r>
      <t xml:space="preserve"> - SDK</t>
    </r>
    <r>
      <rPr>
        <sz val="9"/>
        <rFont val="Arial"/>
        <family val="2"/>
        <charset val="238"/>
      </rPr>
      <t> </t>
    </r>
    <r>
      <rPr>
        <b/>
        <sz val="9"/>
        <rFont val="Arial"/>
        <family val="2"/>
        <charset val="238"/>
      </rPr>
      <t>podhled</t>
    </r>
    <r>
      <rPr>
        <sz val="9"/>
        <rFont val="Arial"/>
        <family val="2"/>
        <charset val="238"/>
      </rPr>
      <t xml:space="preserve"> desky </t>
    </r>
    <r>
      <rPr>
        <b/>
        <sz val="9"/>
        <rFont val="Arial"/>
        <family val="2"/>
        <charset val="238"/>
      </rPr>
      <t xml:space="preserve">2xDF </t>
    </r>
    <r>
      <rPr>
        <sz val="9"/>
        <rFont val="Arial"/>
        <family val="2"/>
        <charset val="238"/>
      </rPr>
      <t xml:space="preserve">12,5 bez izolace dvouvrstvá spodní kce profil CD+UD REI do 120 včetně tmelení, broušení a výztužné pásky </t>
    </r>
    <r>
      <rPr>
        <sz val="7"/>
        <rFont val="Arial"/>
        <family val="2"/>
        <charset val="238"/>
      </rPr>
      <t>(podrobnosti viz prováděcí dokumentace)</t>
    </r>
  </si>
  <si>
    <r>
      <rPr>
        <b/>
        <sz val="9"/>
        <rFont val="Arial"/>
        <family val="2"/>
        <charset val="238"/>
      </rPr>
      <t xml:space="preserve"> - SDK podhled</t>
    </r>
    <r>
      <rPr>
        <sz val="9"/>
        <rFont val="Arial"/>
        <family val="2"/>
        <charset val="238"/>
      </rPr>
      <t xml:space="preserve"> deska </t>
    </r>
    <r>
      <rPr>
        <b/>
        <sz val="9"/>
        <rFont val="Arial"/>
        <family val="2"/>
        <charset val="238"/>
      </rPr>
      <t>1xDFRIH2 1</t>
    </r>
    <r>
      <rPr>
        <sz val="9"/>
        <rFont val="Arial"/>
        <family val="2"/>
        <charset val="238"/>
      </rPr>
      <t xml:space="preserve">2,5 bez izolace,  jednovrstvá spodní kce profil CD+UD EI do 15  včetně tmelení,broušení a výztužné pásky
 </t>
    </r>
    <r>
      <rPr>
        <sz val="7"/>
        <rFont val="Arial"/>
        <family val="2"/>
        <charset val="238"/>
      </rPr>
      <t>(upřesnit v prováděcí dokumentaci)</t>
    </r>
  </si>
  <si>
    <r>
      <t xml:space="preserve"> -</t>
    </r>
    <r>
      <rPr>
        <b/>
        <sz val="9"/>
        <rFont val="Arial"/>
        <family val="2"/>
        <charset val="238"/>
      </rPr>
      <t xml:space="preserve"> Příplatek k SDK </t>
    </r>
    <r>
      <rPr>
        <sz val="9"/>
        <rFont val="Arial"/>
        <family val="2"/>
        <charset val="238"/>
      </rPr>
      <t>podhledu za plochu do 3 m2 jednotlivě</t>
    </r>
  </si>
  <si>
    <t>SDK stěna předsazená tl 112,5 mm profil CW+UW 100 deska 1xDFH2 12,5  EI 30 Rw do 12 dB
výměra: cca  (0,95+1,135)*2,75+(2,085+0,1)*2,75+(0,9+0,20)*1,50+0,90*0,20</t>
  </si>
  <si>
    <r>
      <rPr>
        <b/>
        <sz val="9"/>
        <rFont val="Calibri"/>
        <family val="2"/>
        <charset val="238"/>
      </rPr>
      <t>Revizní dvířka do SDK konstrukce,</t>
    </r>
    <r>
      <rPr>
        <sz val="9"/>
        <rFont val="Calibri"/>
        <family val="2"/>
        <charset val="238"/>
      </rPr>
      <t xml:space="preserve"> včetně pantů, zavírání, kotvení</t>
    </r>
    <r>
      <rPr>
        <sz val="9"/>
        <rFont val="Calibri"/>
        <family val="2"/>
        <charset val="238"/>
      </rPr>
      <t xml:space="preserve"> + povrchová úprava je z cementové stěrky </t>
    </r>
  </si>
  <si>
    <r>
      <rPr>
        <b/>
        <sz val="9"/>
        <rFont val="Arial"/>
        <family val="2"/>
        <charset val="238"/>
      </rPr>
      <t xml:space="preserve"> - Přesun hmot </t>
    </r>
    <r>
      <rPr>
        <sz val="9"/>
        <rFont val="Arial"/>
        <family val="2"/>
        <charset val="238"/>
      </rPr>
      <t>tonážní pro sádrokartonové konstrukce v objektech v do 6 m</t>
    </r>
  </si>
  <si>
    <r>
      <rPr>
        <b/>
        <sz val="9"/>
        <rFont val="Segoe UI"/>
        <family val="2"/>
        <charset val="238"/>
      </rPr>
      <t xml:space="preserve">Malby </t>
    </r>
    <r>
      <rPr>
        <sz val="9"/>
        <rFont val="Segoe UI"/>
        <family val="2"/>
        <charset val="238"/>
      </rPr>
      <t>antibakteriální v místnostech v do 3,80 m</t>
    </r>
  </si>
  <si>
    <r>
      <t>P1 /</t>
    </r>
    <r>
      <rPr>
        <b/>
        <sz val="7"/>
        <rFont val="Arial"/>
        <family val="2"/>
        <charset val="238"/>
      </rPr>
      <t>1</t>
    </r>
  </si>
  <si>
    <r>
      <t xml:space="preserve"> - cementová stěrka s</t>
    </r>
    <r>
      <rPr>
        <sz val="9"/>
        <rFont val="Arial"/>
        <family val="2"/>
        <charset val="238"/>
      </rPr>
      <t xml:space="preserve"> polyuretanovým lakem </t>
    </r>
    <r>
      <rPr>
        <sz val="8"/>
        <rFont val="Arial"/>
        <family val="2"/>
        <charset val="238"/>
      </rPr>
      <t xml:space="preserve">tl </t>
    </r>
    <r>
      <rPr>
        <b/>
        <sz val="8"/>
        <rFont val="Arial"/>
        <family val="2"/>
        <charset val="238"/>
      </rPr>
      <t xml:space="preserve">3mm: </t>
    </r>
    <r>
      <rPr>
        <b/>
        <sz val="9"/>
        <rFont val="Arial"/>
        <family val="2"/>
        <charset val="238"/>
      </rPr>
      <t xml:space="preserve">
   3 vrstvy ; </t>
    </r>
    <r>
      <rPr>
        <sz val="9"/>
        <rFont val="Arial"/>
        <family val="2"/>
        <charset val="238"/>
      </rPr>
      <t xml:space="preserve">podrobnosti (vlastnosti podlahy) viz </t>
    </r>
    <r>
      <rPr>
        <b/>
        <sz val="9"/>
        <rFont val="Arial"/>
        <family val="2"/>
        <charset val="238"/>
      </rPr>
      <t>TZ</t>
    </r>
    <r>
      <rPr>
        <sz val="9"/>
        <rFont val="Arial"/>
        <family val="2"/>
        <charset val="238"/>
      </rPr>
      <t xml:space="preserve"> str.10.</t>
    </r>
    <r>
      <rPr>
        <b/>
        <sz val="9"/>
        <rFont val="Arial"/>
        <family val="2"/>
        <charset val="238"/>
      </rPr>
      <t xml:space="preserve">
</t>
    </r>
    <r>
      <rPr>
        <sz val="9"/>
        <rFont val="Arial"/>
        <family val="2"/>
        <charset val="238"/>
      </rPr>
      <t>1a. kontaktní můstek epoxidový -pryskyřice zasypaná 
    pískem (spodní vrstva)</t>
    </r>
    <r>
      <rPr>
        <b/>
        <sz val="9"/>
        <rFont val="Arial"/>
        <family val="2"/>
        <charset val="238"/>
      </rPr>
      <t xml:space="preserve">
</t>
    </r>
    <r>
      <rPr>
        <sz val="9"/>
        <rFont val="Arial"/>
        <family val="2"/>
        <charset val="238"/>
      </rPr>
      <t>2b. strojně gletovaná polymercementová hmota
    2x nanášená a přebroušená</t>
    </r>
    <r>
      <rPr>
        <b/>
        <sz val="9"/>
        <rFont val="Arial"/>
        <family val="2"/>
        <charset val="238"/>
      </rPr>
      <t xml:space="preserve">
</t>
    </r>
    <r>
      <rPr>
        <sz val="9"/>
        <rFont val="Arial"/>
        <family val="2"/>
        <charset val="238"/>
      </rPr>
      <t>3c. dvousložkový polyuretanový lak matný 
     (horní vrstva)</t>
    </r>
  </si>
  <si>
    <r>
      <t xml:space="preserve"> - </t>
    </r>
    <r>
      <rPr>
        <b/>
        <sz val="9"/>
        <rFont val="Arial"/>
        <family val="2"/>
        <charset val="238"/>
      </rPr>
      <t xml:space="preserve">3d. dvousložkový </t>
    </r>
    <r>
      <rPr>
        <sz val="9"/>
        <rFont val="Arial"/>
        <family val="2"/>
        <charset val="238"/>
      </rPr>
      <t xml:space="preserve">polyuretanový lak matný - </t>
    </r>
    <r>
      <rPr>
        <b/>
        <sz val="9"/>
        <rFont val="Arial"/>
        <family val="2"/>
        <charset val="238"/>
      </rPr>
      <t>sokl v. 70mm</t>
    </r>
  </si>
  <si>
    <t>P2 /2a</t>
  </si>
  <si>
    <r>
      <rPr>
        <b/>
        <sz val="9"/>
        <rFont val="Arial"/>
        <family val="2"/>
        <charset val="238"/>
      </rPr>
      <t xml:space="preserve"> - Ukončující nerezový L profil - ukončení cementové stěrky </t>
    </r>
    <r>
      <rPr>
        <sz val="9"/>
        <rFont val="Arial"/>
        <family val="2"/>
        <charset val="238"/>
      </rPr>
      <t>(minimalizují spáru mezi podlahou a stěnou) +</t>
    </r>
    <r>
      <rPr>
        <b/>
        <sz val="9"/>
        <rFont val="Arial"/>
        <family val="2"/>
        <charset val="238"/>
      </rPr>
      <t xml:space="preserve"> spára bude vyplněna trvale pružným tmelem</t>
    </r>
    <r>
      <rPr>
        <sz val="9"/>
        <rFont val="Arial"/>
        <family val="2"/>
        <charset val="238"/>
      </rPr>
      <t xml:space="preserve"> ;</t>
    </r>
    <r>
      <rPr>
        <b/>
        <sz val="9"/>
        <rFont val="Arial"/>
        <family val="2"/>
        <charset val="238"/>
      </rPr>
      <t xml:space="preserve"> </t>
    </r>
    <r>
      <rPr>
        <sz val="9"/>
        <rFont val="Arial"/>
        <family val="2"/>
        <charset val="238"/>
      </rPr>
      <t xml:space="preserve">   
rozměry viz TZ strana 10 ; výměra 81,45*1,15</t>
    </r>
  </si>
  <si>
    <r>
      <rPr>
        <sz val="8"/>
        <rFont val="Arial"/>
        <family val="2"/>
        <charset val="238"/>
      </rPr>
      <t>Dtto, avšak montáž</t>
    </r>
    <r>
      <rPr>
        <b/>
        <sz val="8"/>
        <rFont val="Arial"/>
        <family val="2"/>
        <charset val="238"/>
      </rPr>
      <t xml:space="preserve"> </t>
    </r>
    <r>
      <rPr>
        <sz val="9"/>
        <rFont val="Arial"/>
        <family val="2"/>
        <charset val="238"/>
      </rPr>
      <t xml:space="preserve">- </t>
    </r>
    <r>
      <rPr>
        <b/>
        <sz val="9"/>
        <rFont val="Arial"/>
        <family val="2"/>
        <charset val="238"/>
      </rPr>
      <t xml:space="preserve">překrytí fólií s přelepením spojů ; </t>
    </r>
    <r>
      <rPr>
        <sz val="9"/>
        <rFont val="Arial"/>
        <family val="2"/>
        <charset val="238"/>
      </rPr>
      <t xml:space="preserve">výměra : viz P1/1  ; 71,10,m2 </t>
    </r>
  </si>
  <si>
    <r>
      <rPr>
        <b/>
        <sz val="8"/>
        <rFont val="Arial"/>
        <family val="2"/>
        <charset val="238"/>
      </rPr>
      <t xml:space="preserve"> - Dtto, </t>
    </r>
    <r>
      <rPr>
        <sz val="8"/>
        <rFont val="Arial"/>
        <family val="2"/>
        <charset val="238"/>
      </rPr>
      <t xml:space="preserve">avšak </t>
    </r>
    <r>
      <rPr>
        <b/>
        <sz val="8"/>
        <rFont val="Arial"/>
        <family val="2"/>
        <charset val="238"/>
      </rPr>
      <t>montáž</t>
    </r>
    <r>
      <rPr>
        <sz val="9"/>
        <rFont val="Arial"/>
        <family val="2"/>
        <charset val="238"/>
      </rPr>
      <t xml:space="preserve"> - </t>
    </r>
    <r>
      <rPr>
        <sz val="8"/>
        <rFont val="Arial"/>
        <family val="2"/>
        <charset val="238"/>
      </rPr>
      <t xml:space="preserve">
</t>
    </r>
    <r>
      <rPr>
        <sz val="9"/>
        <rFont val="Arial"/>
        <family val="2"/>
        <charset val="238"/>
      </rPr>
      <t>izolace tepelná podlah volně kladená</t>
    </r>
    <r>
      <rPr>
        <sz val="8"/>
        <rFont val="Arial"/>
        <family val="2"/>
        <charset val="238"/>
      </rPr>
      <t xml:space="preserve">
výměra viz P1/1 61,80,m2 (bez prořezu )</t>
    </r>
  </si>
  <si>
    <r>
      <rPr>
        <sz val="7"/>
        <rFont val="Arial"/>
        <family val="2"/>
        <charset val="238"/>
      </rPr>
      <t>P2</t>
    </r>
    <r>
      <rPr>
        <b/>
        <sz val="7"/>
        <rFont val="Arial"/>
        <family val="2"/>
        <charset val="238"/>
      </rPr>
      <t xml:space="preserve"> /1</t>
    </r>
  </si>
  <si>
    <r>
      <t xml:space="preserve">  - cementová stěrka s polyuretanovým lakem tl 3mm: 
   3 vrstvy ; podrobnosti</t>
    </r>
    <r>
      <rPr>
        <sz val="9"/>
        <rFont val="Arial"/>
        <family val="2"/>
        <charset val="238"/>
      </rPr>
      <t>(vlastnosti podlahy) viz TZ str.10.</t>
    </r>
    <r>
      <rPr>
        <b/>
        <sz val="9"/>
        <rFont val="Arial"/>
        <family val="2"/>
        <charset val="238"/>
      </rPr>
      <t xml:space="preserve">
</t>
    </r>
    <r>
      <rPr>
        <sz val="9"/>
        <rFont val="Arial"/>
        <family val="2"/>
        <charset val="238"/>
      </rPr>
      <t>1a. kontaktní můstek epoxidový -pryskyřice zasypaná 
    pískem (spodní vrstva)</t>
    </r>
    <r>
      <rPr>
        <b/>
        <sz val="9"/>
        <rFont val="Arial"/>
        <family val="2"/>
        <charset val="238"/>
      </rPr>
      <t xml:space="preserve">
</t>
    </r>
    <r>
      <rPr>
        <sz val="9"/>
        <rFont val="Arial"/>
        <family val="2"/>
        <charset val="238"/>
      </rPr>
      <t>2b. strojně gletovaná polymercementová hmota
    2x nanášená a přebroušená</t>
    </r>
    <r>
      <rPr>
        <b/>
        <sz val="9"/>
        <rFont val="Arial"/>
        <family val="2"/>
        <charset val="238"/>
      </rPr>
      <t xml:space="preserve">
</t>
    </r>
    <r>
      <rPr>
        <sz val="9"/>
        <rFont val="Arial"/>
        <family val="2"/>
        <charset val="238"/>
      </rPr>
      <t>3c. dvousložkový polyuretanový lak matný 
     (horní vrstva)</t>
    </r>
  </si>
  <si>
    <r>
      <t xml:space="preserve"> - </t>
    </r>
    <r>
      <rPr>
        <b/>
        <sz val="9"/>
        <rFont val="Arial"/>
        <family val="2"/>
        <charset val="238"/>
      </rPr>
      <t xml:space="preserve">3d. dvousložkový </t>
    </r>
    <r>
      <rPr>
        <sz val="9"/>
        <rFont val="Arial"/>
        <family val="2"/>
        <charset val="238"/>
      </rPr>
      <t xml:space="preserve">polyuretanový </t>
    </r>
    <r>
      <rPr>
        <b/>
        <sz val="9"/>
        <rFont val="Arial"/>
        <family val="2"/>
        <charset val="238"/>
      </rPr>
      <t>lak</t>
    </r>
    <r>
      <rPr>
        <sz val="9"/>
        <rFont val="Arial"/>
        <family val="2"/>
        <charset val="238"/>
      </rPr>
      <t xml:space="preserve"> matný - sokl v. 70mm</t>
    </r>
  </si>
  <si>
    <r>
      <rPr>
        <b/>
        <sz val="9"/>
        <rFont val="Arial"/>
        <family val="2"/>
        <charset val="238"/>
      </rPr>
      <t xml:space="preserve"> - Ukončující nerezový L profil - ukončení cementové stěrky </t>
    </r>
    <r>
      <rPr>
        <sz val="9"/>
        <rFont val="Arial"/>
        <family val="2"/>
        <charset val="238"/>
      </rPr>
      <t>(minimalizují spáru mezi podlahou a stěnou) +</t>
    </r>
    <r>
      <rPr>
        <b/>
        <sz val="9"/>
        <rFont val="Arial"/>
        <family val="2"/>
        <charset val="238"/>
      </rPr>
      <t xml:space="preserve"> spára bude vyplněna trvale pružným tmelem</t>
    </r>
    <r>
      <rPr>
        <sz val="9"/>
        <rFont val="Arial"/>
        <family val="2"/>
        <charset val="238"/>
      </rPr>
      <t xml:space="preserve"> ;</t>
    </r>
    <r>
      <rPr>
        <b/>
        <sz val="9"/>
        <rFont val="Arial"/>
        <family val="2"/>
        <charset val="238"/>
      </rPr>
      <t xml:space="preserve"> </t>
    </r>
    <r>
      <rPr>
        <sz val="9"/>
        <rFont val="Arial"/>
        <family val="2"/>
        <charset val="238"/>
      </rPr>
      <t xml:space="preserve">   
rozměry viz TZ strana 10 ;  výměra 59,30*1,15</t>
    </r>
  </si>
  <si>
    <r>
      <rPr>
        <sz val="7"/>
        <rFont val="Arial"/>
        <family val="2"/>
        <charset val="238"/>
      </rPr>
      <t>P2</t>
    </r>
    <r>
      <rPr>
        <b/>
        <sz val="7"/>
        <rFont val="Arial"/>
        <family val="2"/>
        <charset val="238"/>
      </rPr>
      <t xml:space="preserve"> /2</t>
    </r>
  </si>
  <si>
    <r>
      <t xml:space="preserve"> -  </t>
    </r>
    <r>
      <rPr>
        <sz val="8"/>
        <rFont val="Arial"/>
        <family val="2"/>
        <charset val="238"/>
      </rPr>
      <t xml:space="preserve">montáž </t>
    </r>
    <r>
      <rPr>
        <sz val="9"/>
        <rFont val="Arial"/>
        <family val="2"/>
        <charset val="238"/>
      </rPr>
      <t xml:space="preserve">- </t>
    </r>
    <r>
      <rPr>
        <b/>
        <sz val="9"/>
        <rFont val="Arial"/>
        <family val="2"/>
        <charset val="238"/>
      </rPr>
      <t xml:space="preserve">dilatační pásky </t>
    </r>
    <r>
      <rPr>
        <sz val="9"/>
        <rFont val="Arial"/>
        <family val="2"/>
        <charset val="238"/>
      </rPr>
      <t xml:space="preserve">skládaných podlah
    výměra viz P1 /1a : 59,30m2 </t>
    </r>
  </si>
  <si>
    <r>
      <t xml:space="preserve"> - </t>
    </r>
    <r>
      <rPr>
        <sz val="8"/>
        <rFont val="Arial"/>
        <family val="2"/>
        <charset val="238"/>
      </rPr>
      <t>dodávka</t>
    </r>
    <r>
      <rPr>
        <sz val="9"/>
        <rFont val="Arial"/>
        <family val="2"/>
        <charset val="238"/>
      </rPr>
      <t xml:space="preserve"> - </t>
    </r>
    <r>
      <rPr>
        <b/>
        <sz val="9"/>
        <rFont val="Arial"/>
        <family val="2"/>
        <charset val="238"/>
      </rPr>
      <t xml:space="preserve">páska dilatační </t>
    </r>
    <r>
      <rPr>
        <sz val="9"/>
        <rFont val="Arial"/>
        <family val="2"/>
        <charset val="238"/>
      </rPr>
      <t>obvodová
    výměry ; 30,60m2*1,10prořez</t>
    </r>
  </si>
  <si>
    <r>
      <t xml:space="preserve"> - dodávka - </t>
    </r>
    <r>
      <rPr>
        <b/>
        <sz val="9"/>
        <rFont val="Arial"/>
        <family val="2"/>
        <charset val="238"/>
      </rPr>
      <t xml:space="preserve">separační PE fólie
</t>
    </r>
    <r>
      <rPr>
        <sz val="9"/>
        <rFont val="Arial"/>
        <family val="2"/>
        <charset val="238"/>
      </rPr>
      <t xml:space="preserve"> (500kg/m3; tl.1,0mm) oddělující tepelnou izolaci, 
 + přesah 10%.  
Výměry viz P1/1 ; 51,58m2*1,10</t>
    </r>
  </si>
  <si>
    <r>
      <t xml:space="preserve"> - Dtto, avšak </t>
    </r>
    <r>
      <rPr>
        <b/>
        <sz val="9"/>
        <rFont val="Arial"/>
        <family val="2"/>
        <charset val="238"/>
      </rPr>
      <t xml:space="preserve">montáž </t>
    </r>
    <r>
      <rPr>
        <sz val="9"/>
        <rFont val="Arial"/>
        <family val="2"/>
        <charset val="238"/>
      </rPr>
      <t xml:space="preserve">-  </t>
    </r>
    <r>
      <rPr>
        <b/>
        <sz val="9"/>
        <rFont val="Arial"/>
        <family val="2"/>
        <charset val="238"/>
      </rPr>
      <t>separační PE fólie</t>
    </r>
    <r>
      <rPr>
        <sz val="9"/>
        <rFont val="Arial"/>
        <family val="2"/>
        <charset val="238"/>
      </rPr>
      <t xml:space="preserve">
překrytí fólií </t>
    </r>
    <r>
      <rPr>
        <b/>
        <sz val="9"/>
        <rFont val="Arial"/>
        <family val="2"/>
        <charset val="238"/>
      </rPr>
      <t>s přelepením spojů</t>
    </r>
  </si>
  <si>
    <r>
      <t xml:space="preserve"> - </t>
    </r>
    <r>
      <rPr>
        <b/>
        <sz val="9"/>
        <rFont val="Arial"/>
        <family val="2"/>
        <charset val="238"/>
      </rPr>
      <t xml:space="preserve">deska polystyrénová </t>
    </r>
    <r>
      <rPr>
        <sz val="9"/>
        <rFont val="Arial"/>
        <family val="2"/>
        <charset val="238"/>
      </rPr>
      <t>pro snížení kročejového hluku (max. zatížení 4 kN/m2) tl 30mm ; 51,58m2*1,15</t>
    </r>
  </si>
  <si>
    <r>
      <t xml:space="preserve"> - Dtto, avšak </t>
    </r>
    <r>
      <rPr>
        <b/>
        <sz val="9"/>
        <rFont val="Arial"/>
        <family val="2"/>
        <charset val="238"/>
      </rPr>
      <t>montáž</t>
    </r>
    <r>
      <rPr>
        <sz val="9"/>
        <rFont val="Arial"/>
        <family val="2"/>
        <charset val="238"/>
      </rPr>
      <t xml:space="preserve"> izolace tepelné podlah volně kladenými deskami 1 vrstva</t>
    </r>
  </si>
  <si>
    <r>
      <t>P3 /</t>
    </r>
    <r>
      <rPr>
        <b/>
        <sz val="7"/>
        <rFont val="Arial"/>
        <family val="2"/>
        <charset val="238"/>
      </rPr>
      <t>1</t>
    </r>
  </si>
  <si>
    <r>
      <t xml:space="preserve"> - cementová stěrka s</t>
    </r>
    <r>
      <rPr>
        <sz val="9"/>
        <rFont val="Arial"/>
        <family val="2"/>
        <charset val="238"/>
      </rPr>
      <t xml:space="preserve"> polyuretanovým lakem </t>
    </r>
    <r>
      <rPr>
        <sz val="8"/>
        <rFont val="Arial"/>
        <family val="2"/>
        <charset val="238"/>
      </rPr>
      <t xml:space="preserve">tl </t>
    </r>
    <r>
      <rPr>
        <b/>
        <sz val="8"/>
        <rFont val="Arial"/>
        <family val="2"/>
        <charset val="238"/>
      </rPr>
      <t xml:space="preserve">3mm: </t>
    </r>
    <r>
      <rPr>
        <b/>
        <sz val="9"/>
        <rFont val="Arial"/>
        <family val="2"/>
        <charset val="238"/>
      </rPr>
      <t xml:space="preserve">
   3 vrstvy 
</t>
    </r>
    <r>
      <rPr>
        <sz val="9"/>
        <rFont val="Arial"/>
        <family val="2"/>
        <charset val="238"/>
      </rPr>
      <t>1a. kontaktní můstek epoxidový -pryskyřice zasypaná 
    pískem (spodní vrstva)</t>
    </r>
    <r>
      <rPr>
        <b/>
        <sz val="9"/>
        <rFont val="Arial"/>
        <family val="2"/>
        <charset val="238"/>
      </rPr>
      <t xml:space="preserve">
</t>
    </r>
    <r>
      <rPr>
        <sz val="9"/>
        <rFont val="Arial"/>
        <family val="2"/>
        <charset val="238"/>
      </rPr>
      <t>2b. strojně gletovaná polymercementová hmota
    2x nanášená a přebroušená</t>
    </r>
    <r>
      <rPr>
        <b/>
        <sz val="9"/>
        <rFont val="Arial"/>
        <family val="2"/>
        <charset val="238"/>
      </rPr>
      <t xml:space="preserve">
</t>
    </r>
    <r>
      <rPr>
        <sz val="9"/>
        <rFont val="Arial"/>
        <family val="2"/>
        <charset val="238"/>
      </rPr>
      <t>3c. dvousložkový polyuretanový lak matný 
     (horní vrstva)</t>
    </r>
  </si>
  <si>
    <r>
      <rPr>
        <b/>
        <sz val="9"/>
        <rFont val="Arial"/>
        <family val="2"/>
        <charset val="238"/>
      </rPr>
      <t xml:space="preserve">Ukončující nerezový L profil - ukončení cementové stěrky </t>
    </r>
    <r>
      <rPr>
        <sz val="9"/>
        <rFont val="Arial"/>
        <family val="2"/>
        <charset val="238"/>
      </rPr>
      <t>(minimalizují spáru mezi podlahou a stěnou) +</t>
    </r>
    <r>
      <rPr>
        <b/>
        <sz val="9"/>
        <rFont val="Arial"/>
        <family val="2"/>
        <charset val="238"/>
      </rPr>
      <t xml:space="preserve"> spára bude vyplněna trvale pružným tmelem</t>
    </r>
    <r>
      <rPr>
        <sz val="9"/>
        <rFont val="Arial"/>
        <family val="2"/>
        <charset val="238"/>
      </rPr>
      <t xml:space="preserve"> ;</t>
    </r>
    <r>
      <rPr>
        <b/>
        <sz val="9"/>
        <rFont val="Arial"/>
        <family val="2"/>
        <charset val="238"/>
      </rPr>
      <t xml:space="preserve"> </t>
    </r>
    <r>
      <rPr>
        <sz val="9"/>
        <rFont val="Arial"/>
        <family val="2"/>
        <charset val="238"/>
      </rPr>
      <t xml:space="preserve">   
rozměry viz TZ strana 10 ; výměra 96,86*1,15</t>
    </r>
  </si>
  <si>
    <t>P3 /2</t>
  </si>
  <si>
    <r>
      <rPr>
        <sz val="7"/>
        <rFont val="Arial"/>
        <family val="2"/>
        <charset val="238"/>
      </rPr>
      <t>P3</t>
    </r>
    <r>
      <rPr>
        <b/>
        <sz val="7"/>
        <rFont val="Arial"/>
        <family val="2"/>
        <charset val="238"/>
      </rPr>
      <t xml:space="preserve"> /1</t>
    </r>
  </si>
  <si>
    <t>P4 /1</t>
  </si>
  <si>
    <r>
      <t xml:space="preserve"> - cementová stěrka s</t>
    </r>
    <r>
      <rPr>
        <sz val="9"/>
        <rFont val="Arial"/>
        <family val="2"/>
        <charset val="238"/>
      </rPr>
      <t xml:space="preserve"> polyuretanovým lakem </t>
    </r>
    <r>
      <rPr>
        <sz val="8"/>
        <rFont val="Arial"/>
        <family val="2"/>
        <charset val="238"/>
      </rPr>
      <t xml:space="preserve">tl </t>
    </r>
    <r>
      <rPr>
        <b/>
        <sz val="8"/>
        <rFont val="Arial"/>
        <family val="2"/>
        <charset val="238"/>
      </rPr>
      <t xml:space="preserve">3mm: </t>
    </r>
    <r>
      <rPr>
        <b/>
        <sz val="9"/>
        <rFont val="Arial"/>
        <family val="2"/>
        <charset val="238"/>
      </rPr>
      <t xml:space="preserve">
   3 vrstvy - </t>
    </r>
    <r>
      <rPr>
        <sz val="9"/>
        <rFont val="Arial"/>
        <family val="2"/>
        <charset val="238"/>
      </rPr>
      <t>výměra: 15,0m2+(6,70*0,16)</t>
    </r>
    <r>
      <rPr>
        <b/>
        <sz val="9"/>
        <rFont val="Arial"/>
        <family val="2"/>
        <charset val="238"/>
      </rPr>
      <t xml:space="preserve">
</t>
    </r>
    <r>
      <rPr>
        <sz val="9"/>
        <rFont val="Arial"/>
        <family val="2"/>
        <charset val="238"/>
      </rPr>
      <t>1a. kontaktní můstek epoxidový -pryskyřice zasypaná 
    pískem (spodní vrstva)</t>
    </r>
    <r>
      <rPr>
        <b/>
        <sz val="9"/>
        <rFont val="Arial"/>
        <family val="2"/>
        <charset val="238"/>
      </rPr>
      <t xml:space="preserve">
</t>
    </r>
    <r>
      <rPr>
        <sz val="9"/>
        <rFont val="Arial"/>
        <family val="2"/>
        <charset val="238"/>
      </rPr>
      <t>2b. strojně gletovaná polymercementová hmota
    2x nanášená a přebroušená</t>
    </r>
    <r>
      <rPr>
        <b/>
        <sz val="9"/>
        <rFont val="Arial"/>
        <family val="2"/>
        <charset val="238"/>
      </rPr>
      <t xml:space="preserve">
</t>
    </r>
    <r>
      <rPr>
        <sz val="9"/>
        <rFont val="Arial"/>
        <family val="2"/>
        <charset val="238"/>
      </rPr>
      <t>3c. dvousložkový polyuretanový lak matný 
     (horní vrstva)</t>
    </r>
  </si>
  <si>
    <t>P4 /1a</t>
  </si>
  <si>
    <r>
      <t xml:space="preserve"> - </t>
    </r>
    <r>
      <rPr>
        <b/>
        <sz val="9"/>
        <rFont val="Arial"/>
        <family val="2"/>
        <charset val="238"/>
      </rPr>
      <t>3d. dvousložkový</t>
    </r>
    <r>
      <rPr>
        <sz val="9"/>
        <rFont val="Arial"/>
        <family val="2"/>
        <charset val="238"/>
      </rPr>
      <t xml:space="preserve"> polyuretanový </t>
    </r>
    <r>
      <rPr>
        <b/>
        <sz val="9"/>
        <rFont val="Arial"/>
        <family val="2"/>
        <charset val="238"/>
      </rPr>
      <t>lak</t>
    </r>
    <r>
      <rPr>
        <sz val="9"/>
        <rFont val="Arial"/>
        <family val="2"/>
        <charset val="238"/>
      </rPr>
      <t xml:space="preserve"> matný - sokl v. 70mm. výměra / 11,50+0,16*2</t>
    </r>
  </si>
  <si>
    <r>
      <t>P4 /</t>
    </r>
    <r>
      <rPr>
        <b/>
        <sz val="7"/>
        <rFont val="Arial"/>
        <family val="2"/>
        <charset val="238"/>
      </rPr>
      <t>2</t>
    </r>
  </si>
  <si>
    <r>
      <rPr>
        <b/>
        <sz val="9"/>
        <rFont val="Arial"/>
        <family val="2"/>
        <charset val="238"/>
      </rPr>
      <t xml:space="preserve"> - Ukončující nerezový L profil - ukončení cementové stěrky </t>
    </r>
    <r>
      <rPr>
        <sz val="9"/>
        <rFont val="Arial"/>
        <family val="2"/>
        <charset val="238"/>
      </rPr>
      <t>(minimalizují spáru mezi podlahou a stěnou) +</t>
    </r>
    <r>
      <rPr>
        <b/>
        <sz val="9"/>
        <rFont val="Arial"/>
        <family val="2"/>
        <charset val="238"/>
      </rPr>
      <t xml:space="preserve"> spára bude vyplněna trvale pružným tmelem</t>
    </r>
    <r>
      <rPr>
        <sz val="9"/>
        <rFont val="Arial"/>
        <family val="2"/>
        <charset val="238"/>
      </rPr>
      <t xml:space="preserve"> ;</t>
    </r>
    <r>
      <rPr>
        <b/>
        <sz val="9"/>
        <rFont val="Arial"/>
        <family val="2"/>
        <charset val="238"/>
      </rPr>
      <t xml:space="preserve"> </t>
    </r>
    <r>
      <rPr>
        <sz val="9"/>
        <rFont val="Arial"/>
        <family val="2"/>
        <charset val="238"/>
      </rPr>
      <t xml:space="preserve">   
rozměry viz TZ strana 10.  výměra : 19,85bm *1,15</t>
    </r>
  </si>
  <si>
    <t>P4 /3</t>
  </si>
  <si>
    <r>
      <t>P4 /</t>
    </r>
    <r>
      <rPr>
        <b/>
        <sz val="7"/>
        <rFont val="Arial"/>
        <family val="2"/>
        <charset val="238"/>
      </rPr>
      <t>4</t>
    </r>
  </si>
  <si>
    <r>
      <t xml:space="preserve"> -  </t>
    </r>
    <r>
      <rPr>
        <sz val="8"/>
        <rFont val="Arial"/>
        <family val="2"/>
        <charset val="238"/>
      </rPr>
      <t xml:space="preserve">montáž </t>
    </r>
    <r>
      <rPr>
        <sz val="9"/>
        <rFont val="Arial"/>
        <family val="2"/>
        <charset val="238"/>
      </rPr>
      <t xml:space="preserve">- </t>
    </r>
    <r>
      <rPr>
        <b/>
        <sz val="9"/>
        <rFont val="Arial"/>
        <family val="2"/>
        <charset val="238"/>
      </rPr>
      <t xml:space="preserve">dilatační pásky </t>
    </r>
    <r>
      <rPr>
        <sz val="9"/>
        <rFont val="Arial"/>
        <family val="2"/>
        <charset val="238"/>
      </rPr>
      <t>skládaných podlah
    výměra :</t>
    </r>
  </si>
  <si>
    <t>P4 /4a</t>
  </si>
  <si>
    <r>
      <t xml:space="preserve"> - </t>
    </r>
    <r>
      <rPr>
        <sz val="8"/>
        <rFont val="Arial"/>
        <family val="2"/>
        <charset val="238"/>
      </rPr>
      <t>dodávka</t>
    </r>
    <r>
      <rPr>
        <sz val="9"/>
        <rFont val="Arial"/>
        <family val="2"/>
        <charset val="238"/>
      </rPr>
      <t xml:space="preserve"> - </t>
    </r>
    <r>
      <rPr>
        <b/>
        <sz val="9"/>
        <rFont val="Arial"/>
        <family val="2"/>
        <charset val="238"/>
      </rPr>
      <t xml:space="preserve">páska dilatační </t>
    </r>
    <r>
      <rPr>
        <sz val="9"/>
        <rFont val="Arial"/>
        <family val="2"/>
        <charset val="238"/>
      </rPr>
      <t>obvodová
    výměry ; 19,85m2*1,10prořez</t>
    </r>
  </si>
  <si>
    <t>P4 /5</t>
  </si>
  <si>
    <r>
      <t xml:space="preserve"> - dodávka - </t>
    </r>
    <r>
      <rPr>
        <b/>
        <sz val="9"/>
        <rFont val="Arial"/>
        <family val="2"/>
        <charset val="238"/>
      </rPr>
      <t xml:space="preserve">separační PE fólie
</t>
    </r>
    <r>
      <rPr>
        <sz val="9"/>
        <rFont val="Arial"/>
        <family val="2"/>
        <charset val="238"/>
      </rPr>
      <t xml:space="preserve"> (500kg/m3; tl.1,2mm) oddělující tepelnou izolaci, 
 + přesah 15%.  
Výměry  ; 15m2*1,15</t>
    </r>
  </si>
  <si>
    <t>P4 /5a</t>
  </si>
  <si>
    <r>
      <rPr>
        <sz val="8"/>
        <rFont val="Arial"/>
        <family val="2"/>
        <charset val="238"/>
      </rPr>
      <t>Dtto, avšak montáž</t>
    </r>
    <r>
      <rPr>
        <b/>
        <sz val="8"/>
        <rFont val="Arial"/>
        <family val="2"/>
        <charset val="238"/>
      </rPr>
      <t xml:space="preserve"> </t>
    </r>
    <r>
      <rPr>
        <sz val="9"/>
        <rFont val="Arial"/>
        <family val="2"/>
        <charset val="238"/>
      </rPr>
      <t xml:space="preserve">- </t>
    </r>
    <r>
      <rPr>
        <b/>
        <sz val="9"/>
        <rFont val="Arial"/>
        <family val="2"/>
        <charset val="238"/>
      </rPr>
      <t>překrytí fólií s přelepením spojů</t>
    </r>
  </si>
  <si>
    <t>P4 /6</t>
  </si>
  <si>
    <r>
      <t xml:space="preserve"> - dodávka -</t>
    </r>
    <r>
      <rPr>
        <sz val="9"/>
        <rFont val="Arial"/>
        <family val="2"/>
        <charset val="238"/>
      </rPr>
      <t xml:space="preserve"> </t>
    </r>
    <r>
      <rPr>
        <b/>
        <sz val="9"/>
        <rFont val="Arial"/>
        <family val="2"/>
        <charset val="238"/>
      </rPr>
      <t>tepelná izolace EPS 100 STABIL tl 160</t>
    </r>
    <r>
      <rPr>
        <sz val="8"/>
        <rFont val="Arial"/>
        <family val="2"/>
        <charset val="238"/>
      </rPr>
      <t>mm (pod oltářní mensou EPS 200 STABIL, plocha 2m</t>
    </r>
    <r>
      <rPr>
        <sz val="7"/>
        <rFont val="Arial"/>
        <family val="2"/>
        <charset val="238"/>
      </rPr>
      <t>2</t>
    </r>
    <r>
      <rPr>
        <sz val="8"/>
        <rFont val="Arial"/>
        <family val="2"/>
        <charset val="238"/>
      </rPr>
      <t>)
(LAMD.=0,032 W/mK)+ prořez 15% 
výměra ; 15,0-2,0 m2*1,15</t>
    </r>
  </si>
  <si>
    <t>P4 /6a</t>
  </si>
  <si>
    <r>
      <rPr>
        <sz val="9"/>
        <rFont val="Arial"/>
        <family val="2"/>
        <charset val="238"/>
      </rPr>
      <t xml:space="preserve">Dtto, avšak montáž - </t>
    </r>
    <r>
      <rPr>
        <sz val="8"/>
        <rFont val="Arial"/>
        <family val="2"/>
        <charset val="238"/>
      </rPr>
      <t xml:space="preserve">
</t>
    </r>
    <r>
      <rPr>
        <sz val="9"/>
        <rFont val="Arial"/>
        <family val="2"/>
        <charset val="238"/>
      </rPr>
      <t>izolace tepelná podlah volně kladená</t>
    </r>
  </si>
  <si>
    <t>P4 /6b</t>
  </si>
  <si>
    <r>
      <t xml:space="preserve"> - dodávka -</t>
    </r>
    <r>
      <rPr>
        <sz val="9"/>
        <rFont val="Arial"/>
        <family val="2"/>
        <charset val="238"/>
      </rPr>
      <t xml:space="preserve"> </t>
    </r>
    <r>
      <rPr>
        <b/>
        <sz val="9"/>
        <rFont val="Arial"/>
        <family val="2"/>
        <charset val="238"/>
      </rPr>
      <t>tepelná izolace EPS 200STABIL tl 160</t>
    </r>
    <r>
      <rPr>
        <sz val="8"/>
        <rFont val="Arial"/>
        <family val="2"/>
        <charset val="238"/>
      </rPr>
      <t>mm (pod oltářní mensou EPS 200 STABIL, plocha 2m</t>
    </r>
    <r>
      <rPr>
        <sz val="7"/>
        <rFont val="Arial"/>
        <family val="2"/>
        <charset val="238"/>
      </rPr>
      <t>2</t>
    </r>
    <r>
      <rPr>
        <sz val="8"/>
        <rFont val="Arial"/>
        <family val="2"/>
        <charset val="238"/>
      </rPr>
      <t>)
(LAMD.=0,032 W/mK)+ prořez 15% 
výměra ; 2,0 m2*1,15</t>
    </r>
  </si>
  <si>
    <t>P4 /6c</t>
  </si>
  <si>
    <t>P4 /7</t>
  </si>
  <si>
    <t>P4 /7a</t>
  </si>
  <si>
    <r>
      <rPr>
        <b/>
        <sz val="9"/>
        <rFont val="Arial"/>
        <family val="2"/>
        <charset val="238"/>
      </rPr>
      <t>Poznámka</t>
    </r>
    <r>
      <rPr>
        <sz val="9"/>
        <rFont val="Arial"/>
        <family val="2"/>
        <charset val="238"/>
      </rPr>
      <t xml:space="preserve"> : 
Součástí zelené střechy jsou také ochranné šachty střešních vpustí, kačírkové lišty na rozhraní skladeb (zelená střecha, terasa) - přímé i v oblouku - atd.
Fólie PVC - P mohou pokládat pouze specializované
a k tomu účelu vyškolené firmy. 
Fólie se aplikují v souladu se zásadami stanovenými
v konstrukčním předpisu.</t>
    </r>
  </si>
  <si>
    <r>
      <t xml:space="preserve"> - </t>
    </r>
    <r>
      <rPr>
        <b/>
        <sz val="9"/>
        <rFont val="Arial"/>
        <family val="2"/>
        <charset val="238"/>
      </rPr>
      <t>vícedruhový vegetační</t>
    </r>
    <r>
      <rPr>
        <sz val="9"/>
        <rFont val="Arial"/>
        <family val="2"/>
        <charset val="238"/>
      </rPr>
      <t xml:space="preserve"> rozchodníkový určený pro okamžitou pokládku na 
   extenzivní typ zelené střechy. Tvoří jej s péčí vybrané rozmanité druhy 
   rozchodníku, trvalky s vynikající odolností vůči suchým obdobím, tl. 40 mm (nebo výsadba rostlin dle půdorysu 3.np); </t>
    </r>
    <r>
      <rPr>
        <b/>
        <sz val="9"/>
        <rFont val="Arial"/>
        <family val="2"/>
        <charset val="238"/>
      </rPr>
      <t xml:space="preserve"> výměra:</t>
    </r>
    <r>
      <rPr>
        <sz val="9"/>
        <rFont val="Arial"/>
        <family val="2"/>
        <charset val="238"/>
      </rPr>
      <t xml:space="preserve"> 10,46m2+10,56m2</t>
    </r>
  </si>
  <si>
    <r>
      <t xml:space="preserve"> - </t>
    </r>
    <r>
      <rPr>
        <b/>
        <sz val="9"/>
        <rFont val="Arial"/>
        <family val="2"/>
        <charset val="238"/>
      </rPr>
      <t>extenzivní substrát</t>
    </r>
    <r>
      <rPr>
        <sz val="9"/>
        <rFont val="Arial"/>
        <family val="2"/>
        <charset val="238"/>
      </rPr>
      <t xml:space="preserve"> (po obvodu navýšen 
   k betonové dlažbě a věži), tl. 101-163 mm </t>
    </r>
  </si>
  <si>
    <r>
      <t xml:space="preserve"> </t>
    </r>
    <r>
      <rPr>
        <b/>
        <sz val="9"/>
        <rFont val="Arial"/>
        <family val="2"/>
        <charset val="238"/>
      </rPr>
      <t>- filtrační a hydroakumulační vrstva</t>
    </r>
    <r>
      <rPr>
        <sz val="9"/>
        <rFont val="Arial"/>
        <family val="2"/>
        <charset val="238"/>
      </rPr>
      <t xml:space="preserve"> - rohož z minerálního substrátu  
   mechanicky spojena příčným prošíváním, výrazně hydrofilní za účelem 
   uchování vody a vertikálního transportu vláhy v rámci souvrství, tl. 40 mm</t>
    </r>
  </si>
  <si>
    <r>
      <t xml:space="preserve"> -</t>
    </r>
    <r>
      <rPr>
        <b/>
        <sz val="9"/>
        <rFont val="Arial"/>
        <family val="2"/>
        <charset val="238"/>
      </rPr>
      <t xml:space="preserve"> retenční rohož</t>
    </r>
    <r>
      <rPr>
        <sz val="9"/>
        <rFont val="Arial"/>
        <family val="2"/>
        <charset val="238"/>
      </rPr>
      <t xml:space="preserve"> - plastová kalíšková rohož s hydroakumulační schopností, pevnost v tlaku 322 kN/m2, tl. 25mm</t>
    </r>
  </si>
  <si>
    <r>
      <rPr>
        <b/>
        <sz val="9"/>
        <rFont val="Arial"/>
        <family val="2"/>
        <charset val="238"/>
      </rPr>
      <t xml:space="preserve"> - </t>
    </r>
    <r>
      <rPr>
        <b/>
        <sz val="8"/>
        <rFont val="Arial"/>
        <family val="2"/>
        <charset val="238"/>
      </rPr>
      <t>dodávka</t>
    </r>
    <r>
      <rPr>
        <b/>
        <sz val="9"/>
        <rFont val="Arial"/>
        <family val="2"/>
        <charset val="238"/>
      </rPr>
      <t xml:space="preserve"> - hydroizolace</t>
    </r>
    <r>
      <rPr>
        <sz val="9"/>
        <rFont val="Arial"/>
        <family val="2"/>
        <charset val="238"/>
      </rPr>
      <t xml:space="preserve"> - PVC- P fólie se zabudovaným skleněným rounem
   celoplošně přitížená, odolná proti prorůstání kořínků, tl.2 mm </t>
    </r>
  </si>
  <si>
    <r>
      <t xml:space="preserve"> - </t>
    </r>
    <r>
      <rPr>
        <b/>
        <sz val="9"/>
        <rFont val="Arial"/>
        <family val="2"/>
        <charset val="238"/>
      </rPr>
      <t>výměra:</t>
    </r>
    <r>
      <rPr>
        <sz val="9"/>
        <rFont val="Arial"/>
        <family val="2"/>
        <charset val="238"/>
      </rPr>
      <t xml:space="preserve">( 10,70m2+11,00m2+ svislá část(8,85+7,0)*0,15+ vytažení na atiku 
   a věž (8,85+7,00)*0,65m + vytažení na světlík 8,40*0,65m);  
   </t>
    </r>
    <r>
      <rPr>
        <b/>
        <sz val="10"/>
        <rFont val="Arial"/>
        <family val="2"/>
        <charset val="238"/>
      </rPr>
      <t>39,84m2*</t>
    </r>
    <r>
      <rPr>
        <b/>
        <sz val="9"/>
        <rFont val="Arial"/>
        <family val="2"/>
        <charset val="238"/>
      </rPr>
      <t>1,15prořez</t>
    </r>
  </si>
  <si>
    <r>
      <t xml:space="preserve"> - dtto, avšak </t>
    </r>
    <r>
      <rPr>
        <b/>
        <sz val="9"/>
        <rFont val="Arial"/>
        <family val="2"/>
        <charset val="238"/>
      </rPr>
      <t xml:space="preserve">montáž,  výměra: </t>
    </r>
    <r>
      <rPr>
        <sz val="9"/>
        <rFont val="Arial"/>
        <family val="2"/>
        <charset val="238"/>
      </rPr>
      <t>39,84m2</t>
    </r>
  </si>
  <si>
    <r>
      <t>ST1  /</t>
    </r>
    <r>
      <rPr>
        <b/>
        <sz val="7"/>
        <rFont val="Arial"/>
        <family val="2"/>
        <charset val="238"/>
      </rPr>
      <t>5</t>
    </r>
    <r>
      <rPr>
        <sz val="10"/>
        <rFont val="Arial"/>
        <family val="2"/>
        <charset val="238"/>
      </rPr>
      <t/>
    </r>
  </si>
  <si>
    <r>
      <t xml:space="preserve"> - </t>
    </r>
    <r>
      <rPr>
        <b/>
        <sz val="9"/>
        <rFont val="Arial"/>
        <family val="2"/>
        <charset val="238"/>
      </rPr>
      <t xml:space="preserve">separační vrstva </t>
    </r>
    <r>
      <rPr>
        <sz val="9"/>
        <rFont val="Arial"/>
        <family val="2"/>
        <charset val="238"/>
      </rPr>
      <t>- skleněné rouno , tl. 2 mm ;</t>
    </r>
    <r>
      <rPr>
        <b/>
        <sz val="9"/>
        <rFont val="Arial"/>
        <family val="2"/>
        <charset val="238"/>
      </rPr>
      <t xml:space="preserve"> výměra </t>
    </r>
    <r>
      <rPr>
        <sz val="9"/>
        <rFont val="Arial"/>
        <family val="2"/>
        <charset val="238"/>
      </rPr>
      <t>39,84m2*1,15prořez</t>
    </r>
  </si>
  <si>
    <r>
      <t xml:space="preserve"> - </t>
    </r>
    <r>
      <rPr>
        <sz val="8"/>
        <rFont val="Arial"/>
        <family val="2"/>
        <charset val="238"/>
      </rPr>
      <t>dtto, avšak montáž</t>
    </r>
  </si>
  <si>
    <r>
      <t xml:space="preserve"> - tepelná izolace Isover EPS 200 S (lamd.=0,037 w/mk) tl. 200 mm  + spádové klíny se sklonem 2%. celková tl. tepelné izolace 220-360 mm ;
 výměra : (10,46+10,56)m2*</t>
    </r>
    <r>
      <rPr>
        <sz val="8"/>
        <rFont val="Arial"/>
        <family val="2"/>
        <charset val="238"/>
      </rPr>
      <t>1,15prořez</t>
    </r>
  </si>
  <si>
    <r>
      <t xml:space="preserve"> -</t>
    </r>
    <r>
      <rPr>
        <b/>
        <sz val="9"/>
        <rFont val="Arial"/>
        <family val="2"/>
        <charset val="238"/>
      </rPr>
      <t xml:space="preserve"> pás z SBS modifikovaného asfaltu s</t>
    </r>
    <r>
      <rPr>
        <sz val="9"/>
        <rFont val="Arial"/>
        <family val="2"/>
        <charset val="238"/>
      </rPr>
      <t xml:space="preserve"> nosnou vložkou z polyesterové rohože. Pás je na horním povrchu opatřen jemným separačním posypem a na spodním separační PE fólií, tl. 4mm</t>
    </r>
  </si>
  <si>
    <r>
      <rPr>
        <b/>
        <sz val="9"/>
        <rFont val="Arial"/>
        <family val="2"/>
        <charset val="238"/>
      </rPr>
      <t>výměra:</t>
    </r>
    <r>
      <rPr>
        <sz val="9"/>
        <rFont val="Arial"/>
        <family val="2"/>
        <charset val="238"/>
      </rPr>
      <t xml:space="preserve"> 10,70m2+11,00m2+ svislá část(8,85+7,0)*0,15+ vytažení na atiku (8,85+7,00)*0,85m + vytažení na světlík 8,40*0,75m  ; 43,85m2*</t>
    </r>
    <r>
      <rPr>
        <sz val="8"/>
        <rFont val="Arial"/>
        <family val="2"/>
        <charset val="238"/>
      </rPr>
      <t>1,15prořez</t>
    </r>
  </si>
  <si>
    <r>
      <t xml:space="preserve"> - </t>
    </r>
    <r>
      <rPr>
        <sz val="8"/>
        <rFont val="Arial"/>
        <family val="2"/>
        <charset val="238"/>
      </rPr>
      <t>dtto, avšak montáž - vodorovná ; výměra 10,70m2+11,00m2+(8,85+7,0)*0,15</t>
    </r>
  </si>
  <si>
    <r>
      <t xml:space="preserve"> - </t>
    </r>
    <r>
      <rPr>
        <sz val="8"/>
        <rFont val="Arial"/>
        <family val="2"/>
        <charset val="238"/>
      </rPr>
      <t>dtto, avšak montáž - svislá ; výměra (8,85+7,00)*0,85m + 8,40*0,75m</t>
    </r>
  </si>
  <si>
    <r>
      <t xml:space="preserve"> -</t>
    </r>
    <r>
      <rPr>
        <b/>
        <sz val="9"/>
        <rFont val="Arial"/>
        <family val="2"/>
        <charset val="238"/>
      </rPr>
      <t xml:space="preserve"> za studena zpracovatelná </t>
    </r>
    <r>
      <rPr>
        <sz val="9"/>
        <rFont val="Arial"/>
        <family val="2"/>
        <charset val="238"/>
      </rPr>
      <t>asfaltová penetrační emulze na beton 
 výměra : 10,7+11+(8,85+7)*0,15+ (8,85+7)*0,85 + 8,4*0,75</t>
    </r>
  </si>
  <si>
    <r>
      <t xml:space="preserve"> - </t>
    </r>
    <r>
      <rPr>
        <b/>
        <sz val="9"/>
        <rFont val="Arial"/>
        <family val="2"/>
        <charset val="238"/>
      </rPr>
      <t>silikátová akustická omítka bílá</t>
    </r>
    <r>
      <rPr>
        <sz val="9"/>
        <rFont val="Arial"/>
        <family val="2"/>
        <charset val="238"/>
      </rPr>
      <t xml:space="preserve"> αw = 0,45, tl. 15mm vnitřní nebo vnější ?</t>
    </r>
  </si>
  <si>
    <r>
      <rPr>
        <b/>
        <sz val="9"/>
        <rFont val="Arial"/>
        <family val="2"/>
        <charset val="238"/>
      </rPr>
      <t xml:space="preserve"> výměra:</t>
    </r>
    <r>
      <rPr>
        <sz val="9"/>
        <rFont val="Arial"/>
        <family val="2"/>
        <charset val="238"/>
      </rPr>
      <t xml:space="preserve"> 59,60m2-světlík 5,68m2+kuželová plocha 6,20m2;  </t>
    </r>
    <r>
      <rPr>
        <sz val="9"/>
        <rFont val="Calibri"/>
        <family val="2"/>
        <charset val="238"/>
      </rPr>
      <t>∑ 71,50m2</t>
    </r>
  </si>
  <si>
    <r>
      <t>ST1  /</t>
    </r>
    <r>
      <rPr>
        <b/>
        <sz val="7"/>
        <rFont val="Arial"/>
        <family val="2"/>
        <charset val="238"/>
      </rPr>
      <t>13</t>
    </r>
  </si>
  <si>
    <r>
      <t xml:space="preserve"> -</t>
    </r>
    <r>
      <rPr>
        <b/>
        <sz val="9"/>
        <rFont val="Arial"/>
        <family val="2"/>
        <charset val="238"/>
      </rPr>
      <t xml:space="preserve"> Přepad pojistný </t>
    </r>
    <r>
      <rPr>
        <sz val="9"/>
        <rFont val="Arial"/>
        <family val="2"/>
        <charset val="238"/>
      </rPr>
      <t>hranatý 50/100mm, dl. cca 600mm , včetně vodotěsných 
    prostupů konstrukcemi, vodotěsná manžeta - s integrovaným límcem pro napojení, včetně kotvení, kompletní  provedení</t>
    </r>
  </si>
  <si>
    <r>
      <t>ST1  /</t>
    </r>
    <r>
      <rPr>
        <b/>
        <sz val="7"/>
        <rFont val="Arial"/>
        <family val="2"/>
        <charset val="238"/>
      </rPr>
      <t>13</t>
    </r>
    <r>
      <rPr>
        <sz val="10"/>
        <rFont val="Arial"/>
        <family val="2"/>
        <charset val="238"/>
      </rPr>
      <t/>
    </r>
  </si>
  <si>
    <r>
      <t xml:space="preserve"> - </t>
    </r>
    <r>
      <rPr>
        <b/>
        <sz val="9"/>
        <rFont val="Arial"/>
        <family val="2"/>
        <charset val="238"/>
      </rPr>
      <t xml:space="preserve">Střešní vpust </t>
    </r>
    <r>
      <rPr>
        <sz val="9"/>
        <rFont val="Arial"/>
        <family val="2"/>
        <charset val="238"/>
      </rPr>
      <t xml:space="preserve">vodorovná vyhřívaná ∅ 110 mm, manžeta -s integrovaným límcem  pro napojení,  včetně vodotěsných prostupů konstrukcemi,  včetně vodotěsných prostupů konstrukcemi, včetně kotvení, kompletní provedení </t>
    </r>
  </si>
  <si>
    <r>
      <t>ST1  /</t>
    </r>
    <r>
      <rPr>
        <b/>
        <sz val="7"/>
        <rFont val="Arial"/>
        <family val="2"/>
        <charset val="238"/>
      </rPr>
      <t>14</t>
    </r>
    <r>
      <rPr>
        <sz val="10"/>
        <rFont val="Arial"/>
        <family val="2"/>
        <charset val="238"/>
      </rPr>
      <t/>
    </r>
  </si>
  <si>
    <r>
      <t xml:space="preserve"> - </t>
    </r>
    <r>
      <rPr>
        <b/>
        <sz val="9"/>
        <rFont val="Arial"/>
        <family val="2"/>
        <charset val="238"/>
      </rPr>
      <t>Ochraná šachta</t>
    </r>
    <r>
      <rPr>
        <sz val="9"/>
        <rFont val="Arial"/>
        <family val="2"/>
        <charset val="238"/>
      </rPr>
      <t xml:space="preserve"> pro střešní vpust 400 x 400 mm, nerezová, + krycí mřížka +
   kotvení,  prodloužená výška dle střešního souvrství,  kompletní provedení</t>
    </r>
  </si>
  <si>
    <r>
      <t>ST1  /</t>
    </r>
    <r>
      <rPr>
        <b/>
        <sz val="7"/>
        <rFont val="Arial"/>
        <family val="2"/>
        <charset val="238"/>
      </rPr>
      <t>15</t>
    </r>
    <r>
      <rPr>
        <sz val="10"/>
        <rFont val="Arial"/>
        <family val="2"/>
        <charset val="238"/>
      </rPr>
      <t/>
    </r>
  </si>
  <si>
    <r>
      <t xml:space="preserve"> -</t>
    </r>
    <r>
      <rPr>
        <b/>
        <sz val="9"/>
        <rFont val="Arial"/>
        <family val="2"/>
        <charset val="238"/>
      </rPr>
      <t xml:space="preserve"> Odtok trubkou</t>
    </r>
    <r>
      <rPr>
        <sz val="9"/>
        <rFont val="Arial"/>
        <family val="2"/>
        <charset val="238"/>
      </rPr>
      <t xml:space="preserve"> ze střešní vpusti hranatý 100/100mm, dl. cca 1,20mm, 
    včetně napojení na svislý svod, včetně vodotěsných prostupů konstrukcemi,
    vodotěsná manžeta - s integrovaným límcem  pro napojení, včetně kotvení, kompletní provedení</t>
    </r>
  </si>
  <si>
    <r>
      <t>ST1  /</t>
    </r>
    <r>
      <rPr>
        <b/>
        <sz val="7"/>
        <rFont val="Arial"/>
        <family val="2"/>
        <charset val="238"/>
      </rPr>
      <t>16</t>
    </r>
    <r>
      <rPr>
        <sz val="10"/>
        <rFont val="Arial"/>
        <family val="2"/>
        <charset val="238"/>
      </rPr>
      <t/>
    </r>
  </si>
  <si>
    <r>
      <t xml:space="preserve"> - </t>
    </r>
    <r>
      <rPr>
        <b/>
        <sz val="9"/>
        <rFont val="Arial"/>
        <family val="2"/>
        <charset val="238"/>
      </rPr>
      <t>Kačírkové lišty</t>
    </r>
    <r>
      <rPr>
        <sz val="9"/>
        <rFont val="Arial"/>
        <family val="2"/>
        <charset val="238"/>
      </rPr>
      <t xml:space="preserve"> na rozhraní skladeb (zelená střecha, terasa) - přímé 
    i v oblouku, </t>
    </r>
    <r>
      <rPr>
        <b/>
        <sz val="9"/>
        <rFont val="Arial"/>
        <family val="2"/>
        <charset val="238"/>
      </rPr>
      <t xml:space="preserve">výměra: </t>
    </r>
    <r>
      <rPr>
        <sz val="9"/>
        <rFont val="Arial"/>
        <family val="2"/>
        <charset val="238"/>
      </rPr>
      <t xml:space="preserve">rovných 8,00m+ v oblouku 11,35m </t>
    </r>
  </si>
  <si>
    <r>
      <t>ST1  /</t>
    </r>
    <r>
      <rPr>
        <b/>
        <sz val="7"/>
        <rFont val="Arial"/>
        <family val="2"/>
        <charset val="238"/>
      </rPr>
      <t>17</t>
    </r>
    <r>
      <rPr>
        <sz val="10"/>
        <rFont val="Arial"/>
        <family val="2"/>
        <charset val="238"/>
      </rPr>
      <t/>
    </r>
  </si>
  <si>
    <r>
      <t xml:space="preserve"> -</t>
    </r>
    <r>
      <rPr>
        <b/>
        <sz val="9"/>
        <rFont val="Arial"/>
        <family val="2"/>
        <charset val="238"/>
      </rPr>
      <t xml:space="preserve"> Betonové dlaždice </t>
    </r>
    <r>
      <rPr>
        <sz val="9"/>
        <rFont val="Arial"/>
        <family val="2"/>
        <charset val="238"/>
      </rPr>
      <t>tl. 60 mm, vel. cca  394 x 277 mm a 246 x 56 mm, uložené na pískovém loži,  kompletní provedení, v místech oblouků lichoběžníkové tvary dlaždic na míru,</t>
    </r>
    <r>
      <rPr>
        <b/>
        <sz val="9"/>
        <rFont val="Arial"/>
        <family val="2"/>
        <charset val="238"/>
      </rPr>
      <t xml:space="preserve"> výměra:</t>
    </r>
    <r>
      <rPr>
        <sz val="9"/>
        <rFont val="Arial"/>
        <family val="2"/>
        <charset val="238"/>
      </rPr>
      <t xml:space="preserve"> 28,90m*0,40m</t>
    </r>
  </si>
  <si>
    <r>
      <t>ST1  /</t>
    </r>
    <r>
      <rPr>
        <b/>
        <sz val="7"/>
        <rFont val="Arial"/>
        <family val="2"/>
        <charset val="238"/>
      </rPr>
      <t>18</t>
    </r>
    <r>
      <rPr>
        <sz val="10"/>
        <rFont val="Arial"/>
        <family val="2"/>
        <charset val="238"/>
      </rPr>
      <t/>
    </r>
  </si>
  <si>
    <r>
      <t xml:space="preserve"> -</t>
    </r>
    <r>
      <rPr>
        <b/>
        <sz val="9"/>
        <rFont val="Arial"/>
        <family val="2"/>
        <charset val="238"/>
      </rPr>
      <t xml:space="preserve"> Klíny z  EPS 200 S,</t>
    </r>
    <r>
      <rPr>
        <sz val="9"/>
        <rFont val="Arial"/>
        <family val="2"/>
        <charset val="238"/>
      </rPr>
      <t xml:space="preserve"> vel. cca100x100mm,  pro přechod hydroizolace ze svislé
   na vodorovnou plochu ; </t>
    </r>
    <r>
      <rPr>
        <b/>
        <sz val="9"/>
        <rFont val="Arial"/>
        <family val="2"/>
        <charset val="238"/>
      </rPr>
      <t>výměra:</t>
    </r>
    <r>
      <rPr>
        <sz val="9"/>
        <rFont val="Arial"/>
        <family val="2"/>
        <charset val="238"/>
      </rPr>
      <t xml:space="preserve"> (27,30m+4,30m)*2</t>
    </r>
  </si>
  <si>
    <r>
      <t xml:space="preserve"> - </t>
    </r>
    <r>
      <rPr>
        <b/>
        <sz val="9"/>
        <rFont val="Arial"/>
        <family val="2"/>
        <charset val="238"/>
      </rPr>
      <t>Oplechování soklu</t>
    </r>
    <r>
      <rPr>
        <sz val="9"/>
        <rFont val="Arial"/>
        <family val="2"/>
        <charset val="238"/>
      </rPr>
      <t xml:space="preserve"> věže na střeše, v. cca 200mm, r.š.cca 300mm   
   </t>
    </r>
    <r>
      <rPr>
        <b/>
        <sz val="9"/>
        <rFont val="Arial"/>
        <family val="2"/>
        <charset val="238"/>
      </rPr>
      <t xml:space="preserve"> výměra: 5,0m</t>
    </r>
  </si>
  <si>
    <r>
      <t xml:space="preserve"> - </t>
    </r>
    <r>
      <rPr>
        <b/>
        <sz val="9"/>
        <rFont val="Arial"/>
        <family val="2"/>
        <charset val="238"/>
      </rPr>
      <t>34x výsadba rostlin:</t>
    </r>
    <r>
      <rPr>
        <sz val="9"/>
        <rFont val="Arial"/>
        <family val="2"/>
        <charset val="238"/>
      </rPr>
      <t xml:space="preserve"> travnička přímořská (armeria maritima), včetně
   pěstebného souvrství a finálního povrchu, dodání dlouhodobě působícího
   hnojiva,  rozvojová péče o trvalky 2 roky</t>
    </r>
  </si>
  <si>
    <r>
      <t xml:space="preserve"> - </t>
    </r>
    <r>
      <rPr>
        <b/>
        <sz val="9"/>
        <rFont val="Arial"/>
        <family val="2"/>
        <charset val="238"/>
      </rPr>
      <t>15x výsadba rostlin:</t>
    </r>
    <r>
      <rPr>
        <sz val="9"/>
        <rFont val="Arial"/>
        <family val="2"/>
        <charset val="238"/>
      </rPr>
      <t xml:space="preserve"> kostřava ovčí (festuca ovina), včetně pěstebného 
     souvrství a finálního povrchu, dodání dlouhodobě působícího hnojiva, 
     rozvojová péče o trvalky 2 roky</t>
    </r>
  </si>
  <si>
    <r>
      <rPr>
        <b/>
        <sz val="9"/>
        <rFont val="Arial"/>
        <family val="2"/>
        <charset val="238"/>
      </rPr>
      <t xml:space="preserve"> - 32x výsadba rostlin</t>
    </r>
    <r>
      <rPr>
        <sz val="9"/>
        <rFont val="Arial"/>
        <family val="2"/>
        <charset val="238"/>
      </rPr>
      <t>: hvozdník kropenatý briliant,  včetně pěstebného 
    souvrství a finálního povrchu, dodání dlouhodobě působícího hnojiva, 
    rozvojová péče o trvalky 2 roky</t>
    </r>
  </si>
  <si>
    <r>
      <t xml:space="preserve"> - </t>
    </r>
    <r>
      <rPr>
        <b/>
        <sz val="9"/>
        <rFont val="Arial"/>
        <family val="2"/>
        <charset val="238"/>
      </rPr>
      <t>Kačírek 16/32 mm,</t>
    </r>
    <r>
      <rPr>
        <sz val="9"/>
        <rFont val="Arial"/>
        <family val="2"/>
        <charset val="238"/>
      </rPr>
      <t xml:space="preserve"> tl. cca  200mm; </t>
    </r>
    <r>
      <rPr>
        <b/>
        <sz val="9"/>
        <rFont val="Arial"/>
        <family val="2"/>
        <charset val="238"/>
      </rPr>
      <t>výměra:</t>
    </r>
    <r>
      <rPr>
        <sz val="9"/>
        <rFont val="Arial"/>
        <family val="2"/>
        <charset val="238"/>
      </rPr>
      <t xml:space="preserve"> 2,4m*0,20m*0,20m*2ks</t>
    </r>
  </si>
  <si>
    <r>
      <t xml:space="preserve"> -</t>
    </r>
    <r>
      <rPr>
        <b/>
        <sz val="9"/>
        <rFont val="Arial"/>
        <family val="2"/>
        <charset val="238"/>
      </rPr>
      <t xml:space="preserve"> Prostup výdechového objektu VZT </t>
    </r>
    <r>
      <rPr>
        <sz val="9"/>
        <rFont val="Arial"/>
        <family val="2"/>
        <charset val="238"/>
      </rPr>
      <t>střechou</t>
    </r>
    <r>
      <rPr>
        <b/>
        <sz val="9"/>
        <rFont val="Arial"/>
        <family val="2"/>
        <charset val="238"/>
      </rPr>
      <t>,</t>
    </r>
    <r>
      <rPr>
        <sz val="9"/>
        <rFont val="Arial"/>
        <family val="2"/>
        <charset val="238"/>
      </rPr>
      <t xml:space="preserve"> vel. cca 400x200mm,  včetně vodotěsných prostupů konstrukcemi, vodotěsná manžeta, včetně kotvení ; kompletní provedení</t>
    </r>
  </si>
  <si>
    <r>
      <rPr>
        <b/>
        <sz val="9"/>
        <rFont val="Arial"/>
        <family val="2"/>
        <charset val="238"/>
      </rPr>
      <t xml:space="preserve"> - Tepelná izolace z fenolické pěny, </t>
    </r>
    <r>
      <rPr>
        <sz val="9"/>
        <rFont val="Arial"/>
        <family val="2"/>
        <charset val="238"/>
      </rPr>
      <t xml:space="preserve">na střeše, součinitel tepelné vodivosti max 0,020 w/m.k, tl. 50 mm ; </t>
    </r>
    <r>
      <rPr>
        <b/>
        <sz val="9"/>
        <rFont val="Arial"/>
        <family val="2"/>
        <charset val="238"/>
      </rPr>
      <t xml:space="preserve">výměra </t>
    </r>
    <r>
      <rPr>
        <b/>
        <sz val="9"/>
        <rFont val="Calibri"/>
        <family val="2"/>
        <charset val="238"/>
      </rPr>
      <t>∑</t>
    </r>
    <r>
      <rPr>
        <b/>
        <sz val="9"/>
        <rFont val="Arial"/>
        <family val="2"/>
        <charset val="238"/>
      </rPr>
      <t xml:space="preserve"> </t>
    </r>
    <r>
      <rPr>
        <sz val="9"/>
        <rFont val="Arial"/>
        <family val="2"/>
        <charset val="238"/>
      </rPr>
      <t xml:space="preserve">: </t>
    </r>
    <r>
      <rPr>
        <b/>
        <sz val="9"/>
        <rFont val="Arial"/>
        <family val="2"/>
        <charset val="238"/>
      </rPr>
      <t>51,588m2</t>
    </r>
  </si>
  <si>
    <r>
      <rPr>
        <b/>
        <sz val="9"/>
        <rFont val="Arial"/>
        <family val="2"/>
        <charset val="238"/>
      </rPr>
      <t xml:space="preserve"> výměra:</t>
    </r>
    <r>
      <rPr>
        <sz val="9"/>
        <rFont val="Arial"/>
        <family val="2"/>
        <charset val="238"/>
      </rPr>
      <t xml:space="preserve">   věž střecha, 2,50m*4*dl.1,00m + na výlez (0,72m+0,97m)*2*0,60+
  pod vpustí 0,50m*0,50m +pod trubním odtokem 0,60*0,20</t>
    </r>
  </si>
  <si>
    <r>
      <t xml:space="preserve"> -</t>
    </r>
    <r>
      <rPr>
        <b/>
        <sz val="9"/>
        <rFont val="Arial"/>
        <family val="2"/>
        <charset val="238"/>
      </rPr>
      <t xml:space="preserve"> terasová prkna s drážkami - dřevo garapa, </t>
    </r>
    <r>
      <rPr>
        <sz val="9"/>
        <rFont val="Arial"/>
        <family val="2"/>
        <charset val="238"/>
      </rPr>
      <t xml:space="preserve">(na okrajích ve styku se zelenou střechou svislé obložení boků prkny výšky 100 mm),  tl.  25 mm;
 </t>
    </r>
    <r>
      <rPr>
        <b/>
        <sz val="9"/>
        <rFont val="Arial"/>
        <family val="2"/>
        <charset val="238"/>
      </rPr>
      <t xml:space="preserve"> výměra:</t>
    </r>
    <r>
      <rPr>
        <sz val="9"/>
        <rFont val="Arial"/>
        <family val="2"/>
        <charset val="238"/>
      </rPr>
      <t xml:space="preserve"> (30,95m2+(8,0+3,1+3,35)*0,1)m2  +1,10% prořez                                                                                 </t>
    </r>
  </si>
  <si>
    <r>
      <t xml:space="preserve"> - </t>
    </r>
    <r>
      <rPr>
        <b/>
        <sz val="9"/>
        <rFont val="Arial"/>
        <family val="2"/>
        <charset val="238"/>
      </rPr>
      <t xml:space="preserve">podkladní dřevěný rošt, tl. 50 mm      </t>
    </r>
    <r>
      <rPr>
        <sz val="9"/>
        <rFont val="Arial"/>
        <family val="2"/>
        <charset val="238"/>
      </rPr>
      <t xml:space="preserve">                                                                     </t>
    </r>
  </si>
  <si>
    <r>
      <t xml:space="preserve"> - </t>
    </r>
    <r>
      <rPr>
        <b/>
        <sz val="9"/>
        <rFont val="Arial"/>
        <family val="2"/>
        <charset val="238"/>
      </rPr>
      <t>betonové podložky + rektifikační podstavce</t>
    </r>
    <r>
      <rPr>
        <sz val="9"/>
        <rFont val="Arial"/>
        <family val="2"/>
        <charset val="238"/>
      </rPr>
      <t xml:space="preserve">, tl. 123-178 mm                                       </t>
    </r>
  </si>
  <si>
    <r>
      <t xml:space="preserve"> - </t>
    </r>
    <r>
      <rPr>
        <b/>
        <sz val="9"/>
        <rFont val="Arial"/>
        <family val="2"/>
        <charset val="238"/>
      </rPr>
      <t xml:space="preserve">hydroizolace - PVC-P fólie </t>
    </r>
    <r>
      <rPr>
        <sz val="9"/>
        <rFont val="Arial"/>
        <family val="2"/>
        <charset val="238"/>
      </rPr>
      <t xml:space="preserve">se zabudovaným skleněným rounem celoplošně 
přitížená, odolná proti  prorůstání kořínků, tl.  2 mm ; </t>
    </r>
  </si>
  <si>
    <r>
      <t xml:space="preserve"> - výměra: 31,75m2+ svislá část(13,50m+3,4)*0,15+ vytažení na atiku(13,50m+3,4)*0,65m . v</t>
    </r>
    <r>
      <rPr>
        <b/>
        <sz val="9"/>
        <rFont val="Arial"/>
        <family val="2"/>
        <charset val="238"/>
      </rPr>
      <t>ýměra ∑ 45,27m2+1,15 prořez</t>
    </r>
  </si>
  <si>
    <r>
      <t xml:space="preserve"> - </t>
    </r>
    <r>
      <rPr>
        <sz val="8"/>
        <rFont val="Arial"/>
        <family val="2"/>
        <charset val="238"/>
      </rPr>
      <t xml:space="preserve">dtto, avšak </t>
    </r>
    <r>
      <rPr>
        <b/>
        <sz val="9"/>
        <rFont val="Arial"/>
        <family val="2"/>
        <charset val="238"/>
      </rPr>
      <t>montáž;   výměra ∑ 45,27m2</t>
    </r>
  </si>
  <si>
    <r>
      <t>ST2  /</t>
    </r>
    <r>
      <rPr>
        <b/>
        <sz val="7"/>
        <rFont val="Arial"/>
        <family val="2"/>
        <charset val="238"/>
      </rPr>
      <t>5</t>
    </r>
    <r>
      <rPr>
        <sz val="10"/>
        <rFont val="Arial"/>
        <family val="2"/>
        <charset val="238"/>
      </rPr>
      <t/>
    </r>
  </si>
  <si>
    <r>
      <t xml:space="preserve"> - </t>
    </r>
    <r>
      <rPr>
        <b/>
        <sz val="9"/>
        <rFont val="Arial"/>
        <family val="2"/>
        <charset val="238"/>
      </rPr>
      <t xml:space="preserve">separační vrstva </t>
    </r>
    <r>
      <rPr>
        <sz val="9"/>
        <rFont val="Arial"/>
        <family val="2"/>
        <charset val="238"/>
      </rPr>
      <t>-skleněné rouno, tl.2 mm ; výměra ∑ 45,27m2+1,15 prořez</t>
    </r>
  </si>
  <si>
    <r>
      <t xml:space="preserve"> - </t>
    </r>
    <r>
      <rPr>
        <sz val="8"/>
        <rFont val="Arial"/>
        <family val="2"/>
        <charset val="238"/>
      </rPr>
      <t xml:space="preserve">dtto, avšak </t>
    </r>
    <r>
      <rPr>
        <b/>
        <sz val="9"/>
        <rFont val="Arial"/>
        <family val="2"/>
        <charset val="238"/>
      </rPr>
      <t>montáž - výměra ∑ 45,27m2</t>
    </r>
  </si>
  <si>
    <r>
      <t xml:space="preserve"> - </t>
    </r>
    <r>
      <rPr>
        <b/>
        <sz val="9"/>
        <rFont val="Arial"/>
        <family val="2"/>
        <charset val="238"/>
      </rPr>
      <t xml:space="preserve">tepelná izolace EPS 200 S </t>
    </r>
    <r>
      <rPr>
        <sz val="9"/>
        <rFont val="Arial"/>
        <family val="2"/>
        <charset val="238"/>
      </rPr>
      <t xml:space="preserve">(lamd.=0,037 w/mk) 200 mm   + spádové klíny se sklonem 2%, celková tl. tepelné izolace 220-360 mm ;  
</t>
    </r>
    <r>
      <rPr>
        <b/>
        <sz val="9"/>
        <rFont val="Arial"/>
        <family val="2"/>
        <charset val="238"/>
      </rPr>
      <t xml:space="preserve">výměra </t>
    </r>
    <r>
      <rPr>
        <sz val="9"/>
        <rFont val="Arial"/>
        <family val="2"/>
        <charset val="238"/>
      </rPr>
      <t>∑ 30,95m2*1,15prořez</t>
    </r>
  </si>
  <si>
    <r>
      <t xml:space="preserve"> - </t>
    </r>
    <r>
      <rPr>
        <b/>
        <sz val="9"/>
        <rFont val="Arial"/>
        <family val="2"/>
        <charset val="238"/>
      </rPr>
      <t>pás z SBS modifikovaného asfaltu</t>
    </r>
    <r>
      <rPr>
        <sz val="9"/>
        <rFont val="Arial"/>
        <family val="2"/>
        <charset val="238"/>
      </rPr>
      <t xml:space="preserve"> s nosnou vložkou z polyesterové rohože. Pás je na horním povrchu opatřen jemným separačním posypem a na spodním separační PE fólií, tl. 4mm                                                                              </t>
    </r>
  </si>
  <si>
    <r>
      <t xml:space="preserve"> - </t>
    </r>
    <r>
      <rPr>
        <sz val="8"/>
        <rFont val="Arial"/>
        <family val="2"/>
        <charset val="238"/>
      </rPr>
      <t xml:space="preserve">dtto, avšak </t>
    </r>
    <r>
      <rPr>
        <b/>
        <sz val="9"/>
        <rFont val="Arial"/>
        <family val="2"/>
        <charset val="238"/>
      </rPr>
      <t xml:space="preserve">montáž - vodorovná </t>
    </r>
    <r>
      <rPr>
        <sz val="9"/>
        <rFont val="Arial"/>
        <family val="2"/>
        <charset val="238"/>
      </rPr>
      <t>;</t>
    </r>
    <r>
      <rPr>
        <b/>
        <sz val="9"/>
        <rFont val="Arial"/>
        <family val="2"/>
        <charset val="238"/>
      </rPr>
      <t xml:space="preserve"> výměra :31,75m2</t>
    </r>
  </si>
  <si>
    <r>
      <t xml:space="preserve"> - </t>
    </r>
    <r>
      <rPr>
        <sz val="8"/>
        <rFont val="Arial"/>
        <family val="2"/>
        <charset val="238"/>
      </rPr>
      <t xml:space="preserve">dtto, avšak </t>
    </r>
    <r>
      <rPr>
        <sz val="9"/>
        <rFont val="Arial"/>
        <family val="2"/>
        <charset val="238"/>
      </rPr>
      <t xml:space="preserve">montáž - </t>
    </r>
    <r>
      <rPr>
        <b/>
        <sz val="9"/>
        <rFont val="Arial"/>
        <family val="2"/>
        <charset val="238"/>
      </rPr>
      <t>svislá</t>
    </r>
    <r>
      <rPr>
        <sz val="9"/>
        <rFont val="Arial"/>
        <family val="2"/>
        <charset val="238"/>
      </rPr>
      <t xml:space="preserve"> ; (13,5+3,4)*0,85</t>
    </r>
  </si>
  <si>
    <r>
      <t xml:space="preserve"> - </t>
    </r>
    <r>
      <rPr>
        <b/>
        <sz val="9"/>
        <rFont val="Arial"/>
        <family val="2"/>
        <charset val="238"/>
      </rPr>
      <t xml:space="preserve">za studena zpracovatelná asfaltová penetrační emulze na beton             </t>
    </r>
  </si>
  <si>
    <r>
      <rPr>
        <b/>
        <sz val="9"/>
        <rFont val="Arial"/>
        <family val="2"/>
        <charset val="238"/>
      </rPr>
      <t>výměra</t>
    </r>
    <r>
      <rPr>
        <sz val="9"/>
        <rFont val="Arial"/>
        <family val="2"/>
        <charset val="238"/>
      </rPr>
      <t>:(31,75m2+vytažení na atiku(13,5m+3,4)*0,85m )</t>
    </r>
  </si>
  <si>
    <r>
      <t xml:space="preserve"> - </t>
    </r>
    <r>
      <rPr>
        <b/>
        <sz val="9"/>
        <rFont val="Arial"/>
        <family val="2"/>
        <charset val="238"/>
      </rPr>
      <t>silikátová akustická omítka</t>
    </r>
    <r>
      <rPr>
        <sz val="9"/>
        <rFont val="Arial"/>
        <family val="2"/>
        <charset val="238"/>
      </rPr>
      <t xml:space="preserve"> bílá αw = 0,45, tl. 15 mm   
</t>
    </r>
    <r>
      <rPr>
        <b/>
        <sz val="9"/>
        <rFont val="Arial"/>
        <family val="2"/>
        <charset val="238"/>
      </rPr>
      <t xml:space="preserve">výměra : viz obsaženo ve skladbě ST1                   </t>
    </r>
    <r>
      <rPr>
        <sz val="9"/>
        <rFont val="Arial"/>
        <family val="2"/>
        <charset val="238"/>
      </rPr>
      <t xml:space="preserve">                                       </t>
    </r>
  </si>
  <si>
    <r>
      <t xml:space="preserve"> - </t>
    </r>
    <r>
      <rPr>
        <b/>
        <sz val="9"/>
        <rFont val="Arial"/>
        <family val="2"/>
        <charset val="238"/>
      </rPr>
      <t>kačírek  frakce 1</t>
    </r>
    <r>
      <rPr>
        <sz val="9"/>
        <rFont val="Arial"/>
        <family val="2"/>
        <charset val="238"/>
      </rPr>
      <t xml:space="preserve">6/32 mm, tl. 70 mm  ; </t>
    </r>
    <r>
      <rPr>
        <b/>
        <sz val="9"/>
        <rFont val="Arial"/>
        <family val="2"/>
        <charset val="238"/>
      </rPr>
      <t xml:space="preserve"> výměra</t>
    </r>
    <r>
      <rPr>
        <sz val="9"/>
        <rFont val="Arial"/>
        <family val="2"/>
        <charset val="238"/>
      </rPr>
      <t xml:space="preserve">: 2,38m*2,38m                                                                </t>
    </r>
  </si>
  <si>
    <r>
      <t xml:space="preserve"> -</t>
    </r>
    <r>
      <rPr>
        <b/>
        <sz val="9"/>
        <rFont val="Arial"/>
        <family val="2"/>
        <charset val="238"/>
      </rPr>
      <t>hydroizolace - PVC-P fóli</t>
    </r>
    <r>
      <rPr>
        <sz val="9"/>
        <rFont val="Arial"/>
        <family val="2"/>
        <charset val="238"/>
      </rPr>
      <t>e se zabudovaným skleněným rounem celoplošně přitížená, odolná proti prorůstání kořínků, tl. 2 mm</t>
    </r>
  </si>
  <si>
    <r>
      <rPr>
        <b/>
        <sz val="8"/>
        <rFont val="Arial"/>
        <family val="2"/>
        <charset val="238"/>
      </rPr>
      <t>výměra:</t>
    </r>
    <r>
      <rPr>
        <sz val="8"/>
        <rFont val="Arial"/>
        <family val="2"/>
        <charset val="238"/>
      </rPr>
      <t xml:space="preserve"> 2,38m*2,38m+svislá část(2,38*4)*0,15+2,38*4*0,80 + vytažení na světlík (0,72+0,92)*2*0,30 ; ∑ 15,6924m2*1,15prořez</t>
    </r>
  </si>
  <si>
    <r>
      <t xml:space="preserve"> - </t>
    </r>
    <r>
      <rPr>
        <sz val="8"/>
        <rFont val="Arial"/>
        <family val="2"/>
        <charset val="238"/>
      </rPr>
      <t xml:space="preserve">dtto, avšak </t>
    </r>
    <r>
      <rPr>
        <b/>
        <sz val="9"/>
        <rFont val="Arial"/>
        <family val="2"/>
        <charset val="238"/>
      </rPr>
      <t>montáž ; výměra ∑ 15,69m2</t>
    </r>
  </si>
  <si>
    <r>
      <t>ST3  /</t>
    </r>
    <r>
      <rPr>
        <b/>
        <sz val="7"/>
        <rFont val="Arial"/>
        <family val="2"/>
        <charset val="238"/>
      </rPr>
      <t>3</t>
    </r>
    <r>
      <rPr>
        <sz val="10"/>
        <rFont val="Arial"/>
        <family val="2"/>
        <charset val="238"/>
      </rPr>
      <t/>
    </r>
  </si>
  <si>
    <r>
      <t xml:space="preserve"> - </t>
    </r>
    <r>
      <rPr>
        <b/>
        <sz val="9"/>
        <rFont val="Arial"/>
        <family val="2"/>
        <charset val="238"/>
      </rPr>
      <t>separační vrstva</t>
    </r>
    <r>
      <rPr>
        <sz val="9"/>
        <rFont val="Arial"/>
        <family val="2"/>
        <charset val="238"/>
      </rPr>
      <t xml:space="preserve"> - skleněné rouno, tl. 2mm ; výměra ∑ 15,69m2+1,15prořez</t>
    </r>
  </si>
  <si>
    <r>
      <t xml:space="preserve"> - </t>
    </r>
    <r>
      <rPr>
        <sz val="8"/>
        <rFont val="Arial"/>
        <family val="2"/>
        <charset val="238"/>
      </rPr>
      <t xml:space="preserve">dtto, avšak </t>
    </r>
    <r>
      <rPr>
        <b/>
        <sz val="9"/>
        <rFont val="Arial"/>
        <family val="2"/>
        <charset val="238"/>
      </rPr>
      <t>montáž - výměra ∑ 15,69m2</t>
    </r>
  </si>
  <si>
    <r>
      <t xml:space="preserve"> -</t>
    </r>
    <r>
      <rPr>
        <b/>
        <sz val="9"/>
        <rFont val="Arial"/>
        <family val="2"/>
        <charset val="238"/>
      </rPr>
      <t xml:space="preserve"> tepelná izolace EPS 200 </t>
    </r>
    <r>
      <rPr>
        <sz val="9"/>
        <rFont val="Arial"/>
        <family val="2"/>
        <charset val="238"/>
      </rPr>
      <t xml:space="preserve">S </t>
    </r>
    <r>
      <rPr>
        <sz val="8"/>
        <rFont val="Arial"/>
        <family val="2"/>
        <charset val="238"/>
      </rPr>
      <t>(lamd.=0,037 w/mk) 200 mm</t>
    </r>
    <r>
      <rPr>
        <sz val="9"/>
        <rFont val="Arial"/>
        <family val="2"/>
        <charset val="238"/>
      </rPr>
      <t xml:space="preserve">  + spádové klíny se sklonem 2%, celková tl. tepelné izolace 220-360 mm; výměra :5,66m2*1,15</t>
    </r>
  </si>
  <si>
    <r>
      <t xml:space="preserve"> - </t>
    </r>
    <r>
      <rPr>
        <b/>
        <sz val="9"/>
        <rFont val="Arial"/>
        <family val="2"/>
        <charset val="238"/>
      </rPr>
      <t>pás z SBS modifikovaného asfaltu</t>
    </r>
    <r>
      <rPr>
        <sz val="9"/>
        <rFont val="Arial"/>
        <family val="2"/>
        <charset val="238"/>
      </rPr>
      <t xml:space="preserve"> s nosnou vložkou z polyesterové rohože. Pás je na horním povrchu opatřen  jemným separačním posypem a na spodním separační PE fólií, tl. 4 mm                                                                                   </t>
    </r>
  </si>
  <si>
    <r>
      <t xml:space="preserve"> - </t>
    </r>
    <r>
      <rPr>
        <sz val="8"/>
        <rFont val="Arial"/>
        <family val="2"/>
        <charset val="238"/>
      </rPr>
      <t xml:space="preserve">dtto, avšak </t>
    </r>
    <r>
      <rPr>
        <b/>
        <sz val="9"/>
        <rFont val="Arial"/>
        <family val="2"/>
        <charset val="238"/>
      </rPr>
      <t xml:space="preserve">montáž - vodorovná </t>
    </r>
    <r>
      <rPr>
        <sz val="9"/>
        <rFont val="Arial"/>
        <family val="2"/>
        <charset val="238"/>
      </rPr>
      <t>;</t>
    </r>
    <r>
      <rPr>
        <b/>
        <sz val="9"/>
        <rFont val="Arial"/>
        <family val="2"/>
        <charset val="238"/>
      </rPr>
      <t xml:space="preserve"> výměra : 2,38*2,38</t>
    </r>
  </si>
  <si>
    <r>
      <t xml:space="preserve"> - </t>
    </r>
    <r>
      <rPr>
        <sz val="8"/>
        <rFont val="Arial"/>
        <family val="2"/>
        <charset val="238"/>
      </rPr>
      <t xml:space="preserve">dtto, avšak </t>
    </r>
    <r>
      <rPr>
        <b/>
        <sz val="9"/>
        <rFont val="Arial"/>
        <family val="2"/>
        <charset val="238"/>
      </rPr>
      <t>montáž - svislá</t>
    </r>
    <r>
      <rPr>
        <sz val="9"/>
        <rFont val="Arial"/>
        <family val="2"/>
        <charset val="238"/>
      </rPr>
      <t xml:space="preserve"> ; výměra ∑ 12,60m2</t>
    </r>
  </si>
  <si>
    <r>
      <t xml:space="preserve"> -</t>
    </r>
    <r>
      <rPr>
        <b/>
        <sz val="9"/>
        <rFont val="Arial"/>
        <family val="2"/>
        <charset val="238"/>
      </rPr>
      <t xml:space="preserve"> za studena zpracovatelná asfaltová penetrační emulze na beton    </t>
    </r>
    <r>
      <rPr>
        <sz val="9"/>
        <rFont val="Arial"/>
        <family val="2"/>
        <charset val="238"/>
      </rPr>
      <t xml:space="preserve">                           </t>
    </r>
  </si>
  <si>
    <r>
      <t xml:space="preserve"> - </t>
    </r>
    <r>
      <rPr>
        <b/>
        <sz val="9"/>
        <rFont val="Arial"/>
        <family val="2"/>
        <charset val="238"/>
      </rPr>
      <t>Klíny z  EPS 200 S, vel. cca 100x100mm,</t>
    </r>
    <r>
      <rPr>
        <sz val="9"/>
        <rFont val="Arial"/>
        <family val="2"/>
        <charset val="238"/>
      </rPr>
      <t xml:space="preserve">  pro přechod hydroizolace ze svislé na vodorovnou plochu ;  </t>
    </r>
    <r>
      <rPr>
        <b/>
        <sz val="9"/>
        <rFont val="Arial"/>
        <family val="2"/>
        <charset val="238"/>
      </rPr>
      <t>výměra :</t>
    </r>
    <r>
      <rPr>
        <sz val="9"/>
        <rFont val="Arial"/>
        <family val="2"/>
        <charset val="238"/>
      </rPr>
      <t xml:space="preserve"> na věži: 2,38*4*2</t>
    </r>
  </si>
  <si>
    <r>
      <rPr>
        <b/>
        <sz val="9"/>
        <rFont val="Arial"/>
        <family val="2"/>
        <charset val="238"/>
      </rPr>
      <t xml:space="preserve"> - Střešní vpust vodorovná vyhřívaná ∅ 75 mm,</t>
    </r>
    <r>
      <rPr>
        <sz val="9"/>
        <rFont val="Arial"/>
        <family val="2"/>
        <charset val="238"/>
      </rPr>
      <t xml:space="preserve">  manžeta,  včetně vodotěsných prostupů konstrukcemi, včetně kotvení, kompletní provedení</t>
    </r>
  </si>
  <si>
    <r>
      <rPr>
        <b/>
        <sz val="9"/>
        <rFont val="Arial"/>
        <family val="2"/>
        <charset val="238"/>
      </rPr>
      <t xml:space="preserve"> - Odtok trubkou ze střešní vpusti hranatý 100/100mm,</t>
    </r>
    <r>
      <rPr>
        <sz val="9"/>
        <rFont val="Arial"/>
        <family val="2"/>
        <charset val="238"/>
      </rPr>
      <t xml:space="preserve"> dl. cca 0,60mm, včetně napojení na svislý svod, včetně vodotěsných prostupů konstrukcemi, vodotěsná manžeta -s integrovaným límcem  pro napojení, včetně kotvení, kompletní provedení</t>
    </r>
  </si>
  <si>
    <r>
      <t xml:space="preserve">  - </t>
    </r>
    <r>
      <rPr>
        <b/>
        <sz val="9"/>
        <rFont val="Arial"/>
        <family val="2"/>
        <charset val="238"/>
      </rPr>
      <t xml:space="preserve">falcovaná hliníková </t>
    </r>
    <r>
      <rPr>
        <sz val="9"/>
        <rFont val="Arial"/>
        <family val="2"/>
        <charset val="238"/>
      </rPr>
      <t>plechová krytina se stojatou drážkou, barva: antracitová šedá,
 tl. 0,7 mm, včetně kotvení.
Uvedená výměra v m2 je  z rozměru plochy stěny podle projektu bez překrytí a prořezu. Skutečnou plochu pro dodávku si určí prováděcí firma. 
 - výměra : cca 1,00m*2,80m</t>
    </r>
  </si>
  <si>
    <r>
      <t xml:space="preserve"> - </t>
    </r>
    <r>
      <rPr>
        <b/>
        <sz val="9"/>
        <rFont val="Arial"/>
        <family val="2"/>
        <charset val="238"/>
      </rPr>
      <t>celoplošné bednění</t>
    </r>
    <r>
      <rPr>
        <sz val="9"/>
        <rFont val="Arial"/>
        <family val="2"/>
        <charset val="238"/>
      </rPr>
      <t xml:space="preserve"> z prken tl.  26 mm, včetně impregnace řeziva  proti dřevokaznému hmyzu, houbám a plísním máčením třída ohrožení 3 a 4, včetně kotvení, výměra: cca 1,00m*2,80m</t>
    </r>
  </si>
  <si>
    <r>
      <t xml:space="preserve"> - </t>
    </r>
    <r>
      <rPr>
        <b/>
        <sz val="9"/>
        <rFont val="Arial"/>
        <family val="2"/>
        <charset val="238"/>
      </rPr>
      <t xml:space="preserve">vzduchová mezera </t>
    </r>
    <r>
      <rPr>
        <sz val="9"/>
        <rFont val="Arial"/>
        <family val="2"/>
        <charset val="238"/>
      </rPr>
      <t>/ dřevěné latě tl.  40-65 mm, včetně kotvení, včetně impregnace řeziva  proti dřevokaznému hmyzu, houbám a plísním máčením třída ohrožení 3 a 4,
 výměra: cca 1,00m*2,80m</t>
    </r>
  </si>
  <si>
    <r>
      <t xml:space="preserve"> - </t>
    </r>
    <r>
      <rPr>
        <b/>
        <sz val="9"/>
        <rFont val="Arial"/>
        <family val="2"/>
        <charset val="238"/>
      </rPr>
      <t>difuzně otevřená fólie proti</t>
    </r>
    <r>
      <rPr>
        <sz val="9"/>
        <rFont val="Arial"/>
        <family val="2"/>
        <charset val="238"/>
      </rPr>
      <t xml:space="preserve"> povětrnostním vlivům tl.  1 mm, výměra: cca 1,00m*2,80m</t>
    </r>
  </si>
  <si>
    <r>
      <t xml:space="preserve"> - </t>
    </r>
    <r>
      <rPr>
        <b/>
        <sz val="9"/>
        <rFont val="Arial"/>
        <family val="2"/>
        <charset val="238"/>
      </rPr>
      <t>dodávka - tepelná izolace - minerální vlna</t>
    </r>
    <r>
      <rPr>
        <sz val="9"/>
        <rFont val="Arial"/>
        <family val="2"/>
        <charset val="238"/>
      </rPr>
      <t xml:space="preserve"> skryté kotvení 
U = 0,43W/m2K    tl. 100mm / .  výměra: cca 1,00m*2,80m</t>
    </r>
  </si>
  <si>
    <r>
      <t xml:space="preserve"> - dtto avšak </t>
    </r>
    <r>
      <rPr>
        <b/>
        <sz val="9"/>
        <rFont val="Arial"/>
        <family val="2"/>
        <charset val="238"/>
      </rPr>
      <t>montáž -</t>
    </r>
    <r>
      <rPr>
        <sz val="9"/>
        <rFont val="Arial"/>
        <family val="2"/>
        <charset val="238"/>
      </rPr>
      <t xml:space="preserve"> </t>
    </r>
  </si>
  <si>
    <r>
      <t xml:space="preserve">  -</t>
    </r>
    <r>
      <rPr>
        <b/>
        <sz val="9"/>
        <rFont val="Arial"/>
        <family val="2"/>
        <charset val="238"/>
      </rPr>
      <t xml:space="preserve"> nosná konstrukce  </t>
    </r>
    <r>
      <rPr>
        <sz val="9"/>
        <rFont val="Arial"/>
        <family val="2"/>
        <charset val="238"/>
      </rPr>
      <t>z  KVH hranolů, tl. 100/100 mm, včetně impregnace řeziva  proti dřevokaznému hmyzu, houbám a plísním máčením třída ohrožení 3 a 4.
Dřevěná konstrukce, spojovací prvky a kotvení do betonové stěny budou upřesněny v dílenské dokumentaci.
výměra : cca 0,50m*6ks+(2,40+0,50)*2</t>
    </r>
  </si>
  <si>
    <r>
      <t xml:space="preserve"> - dřevěný obklad, biodeska, dub, povrchová úprava matný lak čirý,tl.   20 mm, </t>
    </r>
    <r>
      <rPr>
        <b/>
        <sz val="9"/>
        <rFont val="Arial"/>
        <family val="2"/>
        <charset val="238"/>
      </rPr>
      <t xml:space="preserve"> viz. Tabulka truhlářských prvků D.1.12.1.6</t>
    </r>
  </si>
  <si>
    <r>
      <rPr>
        <b/>
        <sz val="9"/>
        <rFont val="Arial"/>
        <family val="2"/>
        <charset val="238"/>
      </rPr>
      <t>Níže uvedené prvky jsou součástí skladby s kortenovým plechem</t>
    </r>
    <r>
      <rPr>
        <sz val="9"/>
        <rFont val="Arial"/>
        <family val="2"/>
        <charset val="238"/>
      </rPr>
      <t xml:space="preserve"> uvedené v oddíle Klempířské konstrukce. </t>
    </r>
  </si>
  <si>
    <t xml:space="preserve"> 
 - tepelná izolace - minerální izolace / rektifikační rastr, tl. 120 mm +
 - difúzní fólie tl. 1mm
 - vzduchová mezera provětrávaná / kotvící prvky    fasády tl. 76 mm + 
 - fasádní kazety z cortenové oceli, (ocelový 
   materiál s přirozenou masivní patinou),    rozměry kazety viz detaily v.č.D.1.12.1.20 a pohledy viz v.č. D.1.12.1.11 až 14</t>
  </si>
  <si>
    <r>
      <rPr>
        <b/>
        <sz val="9"/>
        <rFont val="Arial"/>
        <family val="2"/>
        <charset val="238"/>
      </rPr>
      <t>S2</t>
    </r>
    <r>
      <rPr>
        <b/>
        <sz val="8"/>
        <rFont val="Arial"/>
        <family val="2"/>
        <charset val="238"/>
      </rPr>
      <t xml:space="preserve"> / </t>
    </r>
    <r>
      <rPr>
        <b/>
        <sz val="11"/>
        <rFont val="Arial"/>
        <family val="2"/>
        <charset val="238"/>
      </rPr>
      <t>2</t>
    </r>
  </si>
  <si>
    <r>
      <rPr>
        <b/>
        <sz val="9"/>
        <rFont val="Arial"/>
        <family val="2"/>
        <charset val="238"/>
      </rPr>
      <t>S2</t>
    </r>
    <r>
      <rPr>
        <b/>
        <sz val="8"/>
        <rFont val="Arial"/>
        <family val="2"/>
        <charset val="238"/>
      </rPr>
      <t xml:space="preserve"> / </t>
    </r>
    <r>
      <rPr>
        <b/>
        <sz val="10"/>
        <rFont val="Arial"/>
        <family val="2"/>
        <charset val="238"/>
      </rPr>
      <t>2a</t>
    </r>
  </si>
  <si>
    <r>
      <rPr>
        <b/>
        <sz val="9"/>
        <rFont val="Arial"/>
        <family val="2"/>
        <charset val="238"/>
      </rPr>
      <t>S2</t>
    </r>
    <r>
      <rPr>
        <b/>
        <sz val="8"/>
        <rFont val="Arial"/>
        <family val="2"/>
        <charset val="238"/>
      </rPr>
      <t xml:space="preserve"> /</t>
    </r>
    <r>
      <rPr>
        <b/>
        <sz val="11"/>
        <rFont val="Arial"/>
        <family val="2"/>
        <charset val="238"/>
      </rPr>
      <t xml:space="preserve"> 2b</t>
    </r>
  </si>
  <si>
    <r>
      <t xml:space="preserve">S2 / </t>
    </r>
    <r>
      <rPr>
        <b/>
        <sz val="11"/>
        <rFont val="Arial"/>
        <family val="2"/>
        <charset val="238"/>
      </rPr>
      <t>2c</t>
    </r>
  </si>
  <si>
    <r>
      <t xml:space="preserve">S2 / </t>
    </r>
    <r>
      <rPr>
        <b/>
        <sz val="11"/>
        <rFont val="Arial"/>
        <family val="2"/>
        <charset val="238"/>
      </rPr>
      <t>2d</t>
    </r>
  </si>
  <si>
    <r>
      <t xml:space="preserve">S2 / </t>
    </r>
    <r>
      <rPr>
        <b/>
        <sz val="11"/>
        <rFont val="Arial"/>
        <family val="2"/>
        <charset val="238"/>
      </rPr>
      <t>3</t>
    </r>
  </si>
  <si>
    <r>
      <t xml:space="preserve">S2 / </t>
    </r>
    <r>
      <rPr>
        <b/>
        <sz val="11"/>
        <rFont val="Arial"/>
        <family val="2"/>
        <charset val="238"/>
      </rPr>
      <t>3a</t>
    </r>
  </si>
  <si>
    <r>
      <t xml:space="preserve"> dodávka - </t>
    </r>
    <r>
      <rPr>
        <sz val="9"/>
        <rFont val="Arial"/>
        <family val="2"/>
        <charset val="238"/>
      </rPr>
      <t xml:space="preserve">sklovláknitá tkanina s protialkalickou úpravou 314g/m2 vtlačená do tenkovrstvé hmoty </t>
    </r>
  </si>
  <si>
    <r>
      <t xml:space="preserve">S2 / </t>
    </r>
    <r>
      <rPr>
        <b/>
        <sz val="10"/>
        <rFont val="Arial"/>
        <family val="2"/>
        <charset val="238"/>
      </rPr>
      <t>5</t>
    </r>
  </si>
  <si>
    <r>
      <t xml:space="preserve">S2 / </t>
    </r>
    <r>
      <rPr>
        <b/>
        <sz val="10"/>
        <rFont val="Arial"/>
        <family val="2"/>
        <charset val="238"/>
      </rPr>
      <t>5a</t>
    </r>
  </si>
  <si>
    <r>
      <t xml:space="preserve"> -</t>
    </r>
    <r>
      <rPr>
        <b/>
        <sz val="9"/>
        <rFont val="Arial"/>
        <family val="2"/>
        <charset val="238"/>
      </rPr>
      <t xml:space="preserve"> železobetonová stěna</t>
    </r>
    <r>
      <rPr>
        <sz val="9"/>
        <rFont val="Arial"/>
        <family val="2"/>
        <charset val="238"/>
      </rPr>
      <t xml:space="preserve"> - pohledový beton,
   tl. 30 - 310 mm</t>
    </r>
    <r>
      <rPr>
        <b/>
        <sz val="9"/>
        <rFont val="Arial"/>
        <family val="2"/>
        <charset val="238"/>
      </rPr>
      <t xml:space="preserve"> viz statika</t>
    </r>
  </si>
  <si>
    <r>
      <t xml:space="preserve">S3 / </t>
    </r>
    <r>
      <rPr>
        <b/>
        <sz val="11"/>
        <rFont val="Arial"/>
        <family val="2"/>
        <charset val="238"/>
      </rPr>
      <t>2</t>
    </r>
  </si>
  <si>
    <r>
      <t xml:space="preserve"> - l</t>
    </r>
    <r>
      <rPr>
        <b/>
        <sz val="9"/>
        <rFont val="Arial"/>
        <family val="2"/>
        <charset val="238"/>
      </rPr>
      <t xml:space="preserve">epící stěrkovací </t>
    </r>
    <r>
      <rPr>
        <sz val="9"/>
        <rFont val="Arial"/>
        <family val="2"/>
        <charset val="238"/>
      </rPr>
      <t>hmota, tl. 5mm zesíná tl. - (celoplošně)</t>
    </r>
  </si>
  <si>
    <r>
      <t xml:space="preserve">S3 / </t>
    </r>
    <r>
      <rPr>
        <b/>
        <sz val="11"/>
        <rFont val="Arial"/>
        <family val="2"/>
        <charset val="238"/>
      </rPr>
      <t>3</t>
    </r>
  </si>
  <si>
    <r>
      <t xml:space="preserve">S3 / </t>
    </r>
    <r>
      <rPr>
        <b/>
        <sz val="11"/>
        <rFont val="Arial"/>
        <family val="2"/>
        <charset val="238"/>
      </rPr>
      <t>3a</t>
    </r>
  </si>
  <si>
    <r>
      <rPr>
        <b/>
        <sz val="9"/>
        <rFont val="Arial"/>
        <family val="2"/>
        <charset val="238"/>
      </rPr>
      <t>Montáž kontaktního zateplení vnějších stěn </t>
    </r>
    <r>
      <rPr>
        <sz val="9"/>
        <rFont val="Arial"/>
        <family val="2"/>
        <charset val="238"/>
      </rPr>
      <t xml:space="preserve">lepením a mechanickým kotvením </t>
    </r>
    <r>
      <rPr>
        <b/>
        <sz val="9"/>
        <rFont val="Arial"/>
        <family val="2"/>
        <charset val="238"/>
      </rPr>
      <t>desek z fenolické pěny 
tl do 80 mm</t>
    </r>
    <r>
      <rPr>
        <sz val="9"/>
        <rFont val="Arial"/>
        <family val="2"/>
        <charset val="238"/>
      </rPr>
      <t xml:space="preserve"> (ostění nadpraží a parapet š. 1000mm);</t>
    </r>
  </si>
  <si>
    <r>
      <t xml:space="preserve">S3 / </t>
    </r>
    <r>
      <rPr>
        <b/>
        <sz val="11"/>
        <rFont val="Arial"/>
        <family val="2"/>
        <charset val="238"/>
      </rPr>
      <t>3b</t>
    </r>
  </si>
  <si>
    <r>
      <t xml:space="preserve">S3 / </t>
    </r>
    <r>
      <rPr>
        <b/>
        <sz val="11"/>
        <rFont val="Arial"/>
        <family val="2"/>
        <charset val="238"/>
      </rPr>
      <t>3c</t>
    </r>
  </si>
  <si>
    <r>
      <rPr>
        <b/>
        <sz val="9"/>
        <rFont val="Arial"/>
        <family val="2"/>
        <charset val="238"/>
      </rPr>
      <t>Příplatek</t>
    </r>
    <r>
      <rPr>
        <sz val="9"/>
        <rFont val="Arial"/>
        <family val="2"/>
        <charset val="238"/>
      </rPr>
      <t xml:space="preserve"> k cenám kontaktního zateplení 
vnějších stěn za zápustnou montáž a použití tepelně izolačních </t>
    </r>
    <r>
      <rPr>
        <b/>
        <sz val="9"/>
        <rFont val="Arial"/>
        <family val="2"/>
        <charset val="238"/>
      </rPr>
      <t>zátek z fenolické pěny</t>
    </r>
  </si>
  <si>
    <r>
      <t xml:space="preserve">S3 / </t>
    </r>
    <r>
      <rPr>
        <b/>
        <sz val="11"/>
        <rFont val="Arial"/>
        <family val="2"/>
        <charset val="238"/>
      </rPr>
      <t>3d</t>
    </r>
  </si>
  <si>
    <r>
      <t>S3 /</t>
    </r>
    <r>
      <rPr>
        <b/>
        <sz val="11"/>
        <rFont val="Arial"/>
        <family val="2"/>
        <charset val="238"/>
      </rPr>
      <t xml:space="preserve"> 4</t>
    </r>
  </si>
  <si>
    <r>
      <t>S3 /</t>
    </r>
    <r>
      <rPr>
        <b/>
        <sz val="11"/>
        <rFont val="Arial"/>
        <family val="2"/>
        <charset val="238"/>
      </rPr>
      <t xml:space="preserve"> 4a</t>
    </r>
  </si>
  <si>
    <t xml:space="preserve"> - zpevňující penetrační nátěr  silikátový</t>
  </si>
  <si>
    <t xml:space="preserve"> - dřevěný obklad, biodeska, dub, povrchová úprava matný lak čirý, tl. 20 mm ; viz detail v.č.
výměra : viz Tabulka truhlářských výrobků</t>
  </si>
  <si>
    <r>
      <t xml:space="preserve">S4 / </t>
    </r>
    <r>
      <rPr>
        <b/>
        <sz val="11"/>
        <rFont val="Arial"/>
        <family val="2"/>
        <charset val="238"/>
      </rPr>
      <t>6</t>
    </r>
  </si>
  <si>
    <r>
      <t xml:space="preserve"> - výměra pro hydroizolaci+tepelnou viz v.č.1PP - D.1.12.1.</t>
    </r>
    <r>
      <rPr>
        <b/>
        <sz val="9"/>
        <rFont val="Arial"/>
        <family val="2"/>
        <charset val="238"/>
      </rPr>
      <t xml:space="preserve">03 </t>
    </r>
    <r>
      <rPr>
        <sz val="9"/>
        <rFont val="Arial"/>
        <family val="2"/>
        <charset val="238"/>
      </rPr>
      <t>a řezy .</t>
    </r>
    <r>
      <rPr>
        <b/>
        <sz val="9"/>
        <rFont val="Arial"/>
        <family val="2"/>
        <charset val="238"/>
      </rPr>
      <t>08</t>
    </r>
    <r>
      <rPr>
        <sz val="9"/>
        <rFont val="Arial"/>
        <family val="2"/>
        <charset val="238"/>
      </rPr>
      <t xml:space="preserve"> až .</t>
    </r>
    <r>
      <rPr>
        <b/>
        <sz val="9"/>
        <rFont val="Arial"/>
        <family val="2"/>
        <charset val="238"/>
      </rPr>
      <t>010</t>
    </r>
  </si>
  <si>
    <r>
      <t xml:space="preserve"> - </t>
    </r>
    <r>
      <rPr>
        <b/>
        <sz val="9"/>
        <rFont val="Arial"/>
        <family val="2"/>
        <charset val="238"/>
      </rPr>
      <t>železobetonová stěna</t>
    </r>
    <r>
      <rPr>
        <sz val="9"/>
        <rFont val="Arial"/>
        <family val="2"/>
        <charset val="238"/>
      </rPr>
      <t xml:space="preserve"> - pohledový beton, tl. 200 mm</t>
    </r>
  </si>
  <si>
    <r>
      <rPr>
        <b/>
        <sz val="9"/>
        <rFont val="Arial"/>
        <family val="2"/>
        <charset val="238"/>
      </rPr>
      <t>S5</t>
    </r>
    <r>
      <rPr>
        <b/>
        <sz val="8"/>
        <rFont val="Arial"/>
        <family val="2"/>
        <charset val="238"/>
      </rPr>
      <t xml:space="preserve">/ </t>
    </r>
    <r>
      <rPr>
        <b/>
        <sz val="10"/>
        <rFont val="Arial"/>
        <family val="2"/>
        <charset val="238"/>
      </rPr>
      <t>1</t>
    </r>
  </si>
  <si>
    <r>
      <rPr>
        <b/>
        <sz val="9"/>
        <rFont val="Arial"/>
        <family val="2"/>
        <charset val="238"/>
      </rPr>
      <t>S5</t>
    </r>
    <r>
      <rPr>
        <b/>
        <sz val="8"/>
        <rFont val="Arial"/>
        <family val="2"/>
        <charset val="238"/>
      </rPr>
      <t xml:space="preserve">/ </t>
    </r>
    <r>
      <rPr>
        <b/>
        <sz val="10"/>
        <rFont val="Arial"/>
        <family val="2"/>
        <charset val="238"/>
      </rPr>
      <t>2a</t>
    </r>
  </si>
  <si>
    <r>
      <t xml:space="preserve"> -</t>
    </r>
    <r>
      <rPr>
        <sz val="8"/>
        <rFont val="Arial"/>
        <family val="2"/>
        <charset val="238"/>
      </rPr>
      <t xml:space="preserve"> </t>
    </r>
    <r>
      <rPr>
        <b/>
        <sz val="8"/>
        <rFont val="Arial"/>
        <family val="2"/>
        <charset val="238"/>
      </rPr>
      <t>dodávka</t>
    </r>
    <r>
      <rPr>
        <sz val="9"/>
        <rFont val="Arial"/>
        <family val="2"/>
        <charset val="238"/>
      </rPr>
      <t xml:space="preserve"> -  pás z SBS modifikovaného asfaltu s nosnou vložkou z polyesterové rohože. pás je na horním povrchu opatřen  jemným separačním posypem a na spodním separační PE fólií, tl. 4 mm; výměra: 86,40m2*1,20přesah</t>
    </r>
  </si>
  <si>
    <r>
      <rPr>
        <b/>
        <sz val="9"/>
        <rFont val="Arial"/>
        <family val="2"/>
        <charset val="238"/>
      </rPr>
      <t xml:space="preserve">S5/ </t>
    </r>
    <r>
      <rPr>
        <b/>
        <sz val="10"/>
        <rFont val="Arial"/>
        <family val="2"/>
        <charset val="238"/>
      </rPr>
      <t>2b</t>
    </r>
  </si>
  <si>
    <r>
      <t xml:space="preserve"> - </t>
    </r>
    <r>
      <rPr>
        <b/>
        <sz val="8"/>
        <rFont val="Arial"/>
        <family val="2"/>
        <charset val="238"/>
      </rPr>
      <t>dodávka</t>
    </r>
    <r>
      <rPr>
        <sz val="9"/>
        <rFont val="Arial"/>
        <family val="2"/>
        <charset val="238"/>
      </rPr>
      <t xml:space="preserve"> - pás z SBS modifikovaného asfaltu s nosnou vložkou ze skleněné tkaniny. Pás je na horním povrchu opatřen  jemným separačním posypem a na spodním separační PE fólií, tl. 4mm ; výměra: 86,40m2*1,20přesah</t>
    </r>
  </si>
  <si>
    <r>
      <rPr>
        <b/>
        <sz val="9"/>
        <rFont val="Arial"/>
        <family val="2"/>
        <charset val="238"/>
      </rPr>
      <t xml:space="preserve">S5 </t>
    </r>
    <r>
      <rPr>
        <b/>
        <sz val="8"/>
        <rFont val="Arial"/>
        <family val="2"/>
        <charset val="238"/>
      </rPr>
      <t>/</t>
    </r>
    <r>
      <rPr>
        <b/>
        <sz val="10"/>
        <rFont val="Arial"/>
        <family val="2"/>
        <charset val="238"/>
      </rPr>
      <t>2c</t>
    </r>
  </si>
  <si>
    <r>
      <t xml:space="preserve"> - Dtto, avšak</t>
    </r>
    <r>
      <rPr>
        <b/>
        <sz val="9"/>
        <rFont val="Arial"/>
        <family val="2"/>
        <charset val="238"/>
      </rPr>
      <t xml:space="preserve"> </t>
    </r>
    <r>
      <rPr>
        <b/>
        <sz val="8"/>
        <rFont val="Arial"/>
        <family val="2"/>
        <charset val="238"/>
      </rPr>
      <t>montáž</t>
    </r>
    <r>
      <rPr>
        <b/>
        <sz val="9"/>
        <rFont val="Arial"/>
        <family val="2"/>
        <charset val="238"/>
      </rPr>
      <t xml:space="preserve"> - </t>
    </r>
    <r>
      <rPr>
        <sz val="9"/>
        <rFont val="Arial"/>
        <family val="2"/>
        <charset val="238"/>
      </rPr>
      <t xml:space="preserve">hydroizolace, pásy z SBS, </t>
    </r>
    <r>
      <rPr>
        <b/>
        <sz val="9"/>
        <rFont val="Arial"/>
        <family val="2"/>
        <charset val="238"/>
      </rPr>
      <t>S</t>
    </r>
    <r>
      <rPr>
        <sz val="9"/>
        <rFont val="Arial"/>
        <family val="2"/>
        <charset val="238"/>
      </rPr>
      <t>vislá   
 výměra pro dva pásy ; 85,70*2</t>
    </r>
  </si>
  <si>
    <r>
      <rPr>
        <b/>
        <sz val="9"/>
        <rFont val="Arial"/>
        <family val="2"/>
        <charset val="238"/>
      </rPr>
      <t>S5</t>
    </r>
    <r>
      <rPr>
        <b/>
        <sz val="8"/>
        <rFont val="Arial"/>
        <family val="2"/>
        <charset val="238"/>
      </rPr>
      <t xml:space="preserve">/ </t>
    </r>
    <r>
      <rPr>
        <b/>
        <sz val="10"/>
        <rFont val="Arial"/>
        <family val="2"/>
        <charset val="238"/>
      </rPr>
      <t>3a</t>
    </r>
  </si>
  <si>
    <r>
      <t xml:space="preserve"> -</t>
    </r>
    <r>
      <rPr>
        <sz val="8"/>
        <rFont val="Arial"/>
        <family val="2"/>
        <charset val="238"/>
      </rPr>
      <t xml:space="preserve"> </t>
    </r>
    <r>
      <rPr>
        <b/>
        <sz val="8"/>
        <rFont val="Arial"/>
        <family val="2"/>
        <charset val="238"/>
      </rPr>
      <t>dodávka</t>
    </r>
    <r>
      <rPr>
        <sz val="9"/>
        <rFont val="Arial"/>
        <family val="2"/>
        <charset val="238"/>
      </rPr>
      <t xml:space="preserve"> -  tepelná izolace EPS - soklová deska 
SOKL 150 , pro sokl a spodní stavbu,    tl. 120mm
výměra ; 86,40*1,20prořez</t>
    </r>
  </si>
  <si>
    <r>
      <rPr>
        <b/>
        <sz val="9"/>
        <rFont val="Arial"/>
        <family val="2"/>
        <charset val="238"/>
      </rPr>
      <t>S5</t>
    </r>
    <r>
      <rPr>
        <b/>
        <sz val="8"/>
        <rFont val="Arial"/>
        <family val="2"/>
        <charset val="238"/>
      </rPr>
      <t xml:space="preserve">/ </t>
    </r>
    <r>
      <rPr>
        <b/>
        <sz val="10"/>
        <rFont val="Arial"/>
        <family val="2"/>
        <charset val="238"/>
      </rPr>
      <t>3b</t>
    </r>
  </si>
  <si>
    <r>
      <t xml:space="preserve"> - dtto, avšak </t>
    </r>
    <r>
      <rPr>
        <b/>
        <sz val="9"/>
        <rFont val="Arial"/>
        <family val="2"/>
        <charset val="238"/>
      </rPr>
      <t xml:space="preserve">montáž </t>
    </r>
    <r>
      <rPr>
        <sz val="9"/>
        <rFont val="Arial"/>
        <family val="2"/>
        <charset val="238"/>
      </rPr>
      <t>kontaktního zateplení vnějších stěn lepením a mechanickým kotvením polystyrénových desek do betonu a zdiva tl  120 mm ; výměra dtto</t>
    </r>
  </si>
  <si>
    <r>
      <t xml:space="preserve"> - </t>
    </r>
    <r>
      <rPr>
        <b/>
        <sz val="9"/>
        <rFont val="Arial"/>
        <family val="2"/>
        <charset val="238"/>
      </rPr>
      <t>železobetonová stěna -</t>
    </r>
    <r>
      <rPr>
        <sz val="9"/>
        <rFont val="Arial"/>
        <family val="2"/>
        <charset val="238"/>
      </rPr>
      <t xml:space="preserve"> pohledový beton, tl. 200 mm</t>
    </r>
  </si>
  <si>
    <r>
      <t xml:space="preserve">S6/ </t>
    </r>
    <r>
      <rPr>
        <b/>
        <sz val="11"/>
        <rFont val="Arial"/>
        <family val="2"/>
        <charset val="238"/>
      </rPr>
      <t>1</t>
    </r>
  </si>
  <si>
    <r>
      <t xml:space="preserve"> - za studena zpracovatelná asfaltová penetrační emulze na beton - </t>
    </r>
    <r>
      <rPr>
        <b/>
        <sz val="9"/>
        <rFont val="Arial"/>
        <family val="2"/>
        <charset val="238"/>
      </rPr>
      <t>S</t>
    </r>
    <r>
      <rPr>
        <sz val="9"/>
        <rFont val="Arial"/>
        <family val="2"/>
        <charset val="238"/>
      </rPr>
      <t>vislá</t>
    </r>
  </si>
  <si>
    <r>
      <t xml:space="preserve">S6/ </t>
    </r>
    <r>
      <rPr>
        <b/>
        <sz val="11"/>
        <rFont val="Arial"/>
        <family val="2"/>
        <charset val="238"/>
      </rPr>
      <t>2</t>
    </r>
  </si>
  <si>
    <r>
      <t xml:space="preserve"> -</t>
    </r>
    <r>
      <rPr>
        <sz val="8"/>
        <rFont val="Arial"/>
        <family val="2"/>
        <charset val="238"/>
      </rPr>
      <t xml:space="preserve"> </t>
    </r>
    <r>
      <rPr>
        <b/>
        <sz val="8"/>
        <rFont val="Arial"/>
        <family val="2"/>
        <charset val="238"/>
      </rPr>
      <t>dodávka</t>
    </r>
    <r>
      <rPr>
        <sz val="9"/>
        <rFont val="Arial"/>
        <family val="2"/>
        <charset val="238"/>
      </rPr>
      <t xml:space="preserve"> -  pás z SBS modifikovaného asfaltu s nosnou vložkou z polyesterové rohože. pás je na horním povrchu opatřen  jemným separačním posypem a na spodním separační PE fólií, tl. 4 mm. výměra: 20,40m2*1,20přesah</t>
    </r>
  </si>
  <si>
    <r>
      <t xml:space="preserve">S6/ </t>
    </r>
    <r>
      <rPr>
        <b/>
        <sz val="11"/>
        <rFont val="Arial"/>
        <family val="2"/>
        <charset val="238"/>
      </rPr>
      <t>2a</t>
    </r>
  </si>
  <si>
    <r>
      <t xml:space="preserve"> - </t>
    </r>
    <r>
      <rPr>
        <b/>
        <sz val="8"/>
        <rFont val="Arial"/>
        <family val="2"/>
        <charset val="238"/>
      </rPr>
      <t>dodávka</t>
    </r>
    <r>
      <rPr>
        <sz val="9"/>
        <rFont val="Arial"/>
        <family val="2"/>
        <charset val="238"/>
      </rPr>
      <t xml:space="preserve"> - pás z SBS modifikovaného asfaltu s nosnou vložkou ze skleněné tkaniny. pás je na horním povrchu opatřen  jemným separačním posypem a na spodním separační PE fólií, tl. 4mm. Výměra : dtto</t>
    </r>
  </si>
  <si>
    <r>
      <t xml:space="preserve">S6 / </t>
    </r>
    <r>
      <rPr>
        <b/>
        <sz val="11"/>
        <rFont val="Arial"/>
        <family val="2"/>
        <charset val="238"/>
      </rPr>
      <t>2b</t>
    </r>
  </si>
  <si>
    <r>
      <t xml:space="preserve"> - Dtto, avšak</t>
    </r>
    <r>
      <rPr>
        <b/>
        <sz val="9"/>
        <rFont val="Arial"/>
        <family val="2"/>
        <charset val="238"/>
      </rPr>
      <t xml:space="preserve"> </t>
    </r>
    <r>
      <rPr>
        <b/>
        <sz val="8"/>
        <rFont val="Arial"/>
        <family val="2"/>
        <charset val="238"/>
      </rPr>
      <t>montáž</t>
    </r>
    <r>
      <rPr>
        <b/>
        <sz val="9"/>
        <rFont val="Arial"/>
        <family val="2"/>
        <charset val="238"/>
      </rPr>
      <t xml:space="preserve"> - </t>
    </r>
    <r>
      <rPr>
        <sz val="9"/>
        <rFont val="Arial"/>
        <family val="2"/>
        <charset val="238"/>
      </rPr>
      <t xml:space="preserve">hydroizolace, pásy z SBS, </t>
    </r>
    <r>
      <rPr>
        <b/>
        <sz val="9"/>
        <rFont val="Arial"/>
        <family val="2"/>
        <charset val="238"/>
      </rPr>
      <t>S</t>
    </r>
    <r>
      <rPr>
        <sz val="9"/>
        <rFont val="Arial"/>
        <family val="2"/>
        <charset val="238"/>
      </rPr>
      <t xml:space="preserve">vislá   
 výměra pro dva pásy ; 24,50m2*2
   </t>
    </r>
  </si>
  <si>
    <r>
      <t xml:space="preserve">S6/ </t>
    </r>
    <r>
      <rPr>
        <b/>
        <sz val="11"/>
        <rFont val="Arial"/>
        <family val="2"/>
        <charset val="238"/>
      </rPr>
      <t>3</t>
    </r>
  </si>
  <si>
    <r>
      <t xml:space="preserve"> -</t>
    </r>
    <r>
      <rPr>
        <sz val="8"/>
        <rFont val="Arial"/>
        <family val="2"/>
        <charset val="238"/>
      </rPr>
      <t xml:space="preserve"> </t>
    </r>
    <r>
      <rPr>
        <b/>
        <sz val="8"/>
        <rFont val="Arial"/>
        <family val="2"/>
        <charset val="238"/>
      </rPr>
      <t>dodávka</t>
    </r>
    <r>
      <rPr>
        <sz val="9"/>
        <rFont val="Arial"/>
        <family val="2"/>
        <charset val="238"/>
      </rPr>
      <t xml:space="preserve"> -  tepelná izolace EPS - soklová deska 
SOKL 150 , pro sokl a spodní stavbu, tl. 160mm. Výměra: 20,40m2*1,20</t>
    </r>
  </si>
  <si>
    <r>
      <t xml:space="preserve">S6/ </t>
    </r>
    <r>
      <rPr>
        <b/>
        <sz val="11"/>
        <rFont val="Arial"/>
        <family val="2"/>
        <charset val="238"/>
      </rPr>
      <t>3a</t>
    </r>
  </si>
  <si>
    <r>
      <t xml:space="preserve"> - dtto, avšak </t>
    </r>
    <r>
      <rPr>
        <b/>
        <sz val="9"/>
        <rFont val="Arial"/>
        <family val="2"/>
        <charset val="238"/>
      </rPr>
      <t xml:space="preserve">montáž </t>
    </r>
    <r>
      <rPr>
        <sz val="9"/>
        <rFont val="Arial"/>
        <family val="2"/>
        <charset val="238"/>
      </rPr>
      <t>kontaktního zateplení vnějších stěn lepením a mechanickým kotvením polystyrénových desek do betonu a zdiva tl  160 mm. Výměra 24,50m2</t>
    </r>
  </si>
  <si>
    <r>
      <t xml:space="preserve">S6/ </t>
    </r>
    <r>
      <rPr>
        <b/>
        <sz val="11"/>
        <rFont val="Arial"/>
        <family val="2"/>
        <charset val="238"/>
      </rPr>
      <t>4</t>
    </r>
  </si>
  <si>
    <r>
      <t xml:space="preserve"> - výměra :viz v.č.1PP - D.1.12.1.</t>
    </r>
    <r>
      <rPr>
        <b/>
        <sz val="9"/>
        <rFont val="Arial"/>
        <family val="2"/>
        <charset val="238"/>
      </rPr>
      <t xml:space="preserve">03 </t>
    </r>
    <r>
      <rPr>
        <sz val="9"/>
        <rFont val="Arial"/>
        <family val="2"/>
        <charset val="238"/>
      </rPr>
      <t>a řezy .</t>
    </r>
    <r>
      <rPr>
        <b/>
        <sz val="9"/>
        <rFont val="Arial"/>
        <family val="2"/>
        <charset val="238"/>
      </rPr>
      <t>08</t>
    </r>
    <r>
      <rPr>
        <sz val="9"/>
        <rFont val="Arial"/>
        <family val="2"/>
        <charset val="238"/>
      </rPr>
      <t xml:space="preserve"> až .</t>
    </r>
    <r>
      <rPr>
        <b/>
        <sz val="9"/>
        <rFont val="Arial"/>
        <family val="2"/>
        <charset val="238"/>
      </rPr>
      <t>010</t>
    </r>
    <r>
      <rPr>
        <sz val="9"/>
        <rFont val="Arial"/>
        <family val="2"/>
        <charset val="238"/>
      </rPr>
      <t xml:space="preserve">
jižní, severní a západní a východní pohled ; (0,70+3,00+3,30+0,70)*0,30 = </t>
    </r>
    <r>
      <rPr>
        <b/>
        <sz val="9"/>
        <rFont val="Arial"/>
        <family val="2"/>
        <charset val="238"/>
      </rPr>
      <t>2,30m2</t>
    </r>
  </si>
  <si>
    <r>
      <t xml:space="preserve"> - </t>
    </r>
    <r>
      <rPr>
        <b/>
        <sz val="9"/>
        <rFont val="Arial"/>
        <family val="2"/>
        <charset val="238"/>
      </rPr>
      <t>zpevňující penetrační nátěr</t>
    </r>
  </si>
  <si>
    <r>
      <t xml:space="preserve"> - </t>
    </r>
    <r>
      <rPr>
        <b/>
        <sz val="9"/>
        <rFont val="Arial"/>
        <family val="2"/>
        <charset val="238"/>
      </rPr>
      <t>Omítka soklová</t>
    </r>
    <r>
      <rPr>
        <sz val="9"/>
        <rFont val="Arial"/>
        <family val="2"/>
        <charset val="238"/>
      </rPr>
      <t xml:space="preserve"> s modifikovaným silikátovým pojivem a s fotokatalickým efektem, fasádní probarvená - bílá, tl.1,5mm</t>
    </r>
  </si>
  <si>
    <r>
      <rPr>
        <b/>
        <sz val="9"/>
        <rFont val="Arial"/>
        <family val="2"/>
        <charset val="238"/>
      </rPr>
      <t xml:space="preserve"> </t>
    </r>
    <r>
      <rPr>
        <sz val="9"/>
        <rFont val="Arial"/>
        <family val="2"/>
        <charset val="238"/>
      </rPr>
      <t>-  zakládací soklové  lišty pro kontaktní zateplení připevněných hmoždinkami</t>
    </r>
  </si>
  <si>
    <r>
      <rPr>
        <b/>
        <sz val="9"/>
        <rFont val="Calibri"/>
        <family val="2"/>
        <charset val="238"/>
      </rPr>
      <t xml:space="preserve">Rohové lišty </t>
    </r>
    <r>
      <rPr>
        <sz val="9"/>
        <rFont val="Calibri"/>
        <family val="2"/>
        <charset val="238"/>
      </rPr>
      <t>kovové</t>
    </r>
    <r>
      <rPr>
        <b/>
        <sz val="9"/>
        <rFont val="Calibri"/>
        <family val="2"/>
        <charset val="238"/>
      </rPr>
      <t xml:space="preserve"> </t>
    </r>
    <r>
      <rPr>
        <sz val="9"/>
        <rFont val="Calibri"/>
        <family val="2"/>
        <charset val="238"/>
      </rPr>
      <t>pod omítku včetně kotvení, výměra: cca 15,20+13,96+15,25+8,1</t>
    </r>
  </si>
  <si>
    <r>
      <rPr>
        <b/>
        <sz val="9"/>
        <rFont val="Arial"/>
        <family val="2"/>
        <charset val="238"/>
      </rPr>
      <t>Vyčištění budov bytové</t>
    </r>
    <r>
      <rPr>
        <sz val="9"/>
        <rFont val="Arial"/>
        <family val="2"/>
        <charset val="238"/>
      </rPr>
      <t xml:space="preserve"> a občanské výstavby při výšce podlaží přes 4 m</t>
    </r>
  </si>
  <si>
    <r>
      <rPr>
        <b/>
        <sz val="10"/>
        <rFont val="Calibri"/>
        <family val="2"/>
        <charset val="238"/>
      </rPr>
      <t>Přenosné hasicí p</t>
    </r>
    <r>
      <rPr>
        <sz val="10"/>
        <rFont val="Calibri"/>
        <family val="2"/>
        <charset val="238"/>
      </rPr>
      <t xml:space="preserve">řístroje práškové s hasicí schopností nejméně 21A </t>
    </r>
  </si>
  <si>
    <r>
      <rPr>
        <b/>
        <sz val="10"/>
        <rFont val="Calibri"/>
        <family val="2"/>
        <charset val="238"/>
      </rPr>
      <t>Bezpečnostní značk</t>
    </r>
    <r>
      <rPr>
        <sz val="10"/>
        <rFont val="Calibri"/>
        <family val="2"/>
        <charset val="238"/>
      </rPr>
      <t>a nad přenosnými hasicími přístroji označující jejich umístění</t>
    </r>
  </si>
  <si>
    <r>
      <rPr>
        <b/>
        <sz val="10"/>
        <rFont val="Calibri"/>
        <family val="2"/>
        <charset val="238"/>
      </rPr>
      <t>Nad únikovými dveřmi b</t>
    </r>
    <r>
      <rPr>
        <sz val="10"/>
        <rFont val="Calibri"/>
        <family val="2"/>
        <charset val="238"/>
      </rPr>
      <t xml:space="preserve">ude umístěna </t>
    </r>
    <r>
      <rPr>
        <b/>
        <sz val="10"/>
        <rFont val="Calibri"/>
        <family val="2"/>
        <charset val="238"/>
      </rPr>
      <t>bezpečnostní značka</t>
    </r>
    <r>
      <rPr>
        <sz val="10"/>
        <rFont val="Calibri"/>
        <family val="2"/>
        <charset val="238"/>
      </rPr>
      <t xml:space="preserve"> označující únikový východ a na chodbách budou umístěny bezpečnostní značky označující směr úniku. Bezpečnostní značky pro označení únikových cest a nouzového východu musí být umístěny tak, aby z každého místa byla viditelná nejméně jedna bezpečnostní značka.</t>
    </r>
  </si>
  <si>
    <r>
      <t xml:space="preserve">Bude označen bezpečnostní značkou hlavní vypínač elektro, hlavní uzávěr vody a tlačítko </t>
    </r>
    <r>
      <rPr>
        <b/>
        <sz val="10"/>
        <rFont val="Calibri"/>
        <family val="2"/>
        <charset val="238"/>
      </rPr>
      <t>TOTAL STOP.</t>
    </r>
  </si>
  <si>
    <r>
      <rPr>
        <b/>
        <sz val="9"/>
        <rFont val="Arial"/>
        <family val="2"/>
        <charset val="238"/>
      </rPr>
      <t xml:space="preserve">Montáž lešení řadového modulového těžkého </t>
    </r>
    <r>
      <rPr>
        <sz val="9"/>
        <rFont val="Arial"/>
        <family val="2"/>
        <charset val="238"/>
      </rPr>
      <t>zatížení do 300 kg/m2 š přes 0,9 do 1,2 m v přes 10 do 25 m ; výměra : 46,35*8,0+24,50*7,0</t>
    </r>
  </si>
  <si>
    <r>
      <rPr>
        <b/>
        <sz val="8"/>
        <rFont val="Segoe UI"/>
        <family val="2"/>
        <charset val="238"/>
      </rPr>
      <t>Demontáž lešení řadového modulového těžkého</t>
    </r>
    <r>
      <rPr>
        <sz val="8"/>
        <rFont val="Segoe UI"/>
        <family val="2"/>
        <charset val="238"/>
      </rPr>
      <t xml:space="preserve"> zatížení do 300 kg/m2 š přes 0,9 do 1,2 m v přes 10 do 25 m</t>
    </r>
  </si>
  <si>
    <r>
      <rPr>
        <b/>
        <sz val="9"/>
        <rFont val="Arial"/>
        <family val="2"/>
        <charset val="238"/>
      </rPr>
      <t>Zábradlí na atice</t>
    </r>
    <r>
      <rPr>
        <sz val="9"/>
        <rFont val="Arial"/>
        <family val="2"/>
        <charset val="238"/>
      </rPr>
      <t xml:space="preserve"> -dl. cca 28,90m (z toho 3 čtvrtkruhy -dl. 1500mm), ukončení fasády, viz. Detail 3, ocelový sloupek (cor-ten) - jakl 70x50x5, délka cca 1,63 m - cca 3ks/1bm, kotvení ocelového sloupku do železobetonové konstrukce atiky na chemické kotvy  -cca 6ks/1bm, plech kotvený ke sloupku (cor-ten) - cca 0,15m2x6ks/1bm, skrytá podpora pro zavěšení fasádní kazety - cca 6ks/1bm, vodorovný dubový profil včetně kotvení - cca 120mm x 65mm, kompletní provedení včetně kotvení a pomocného materiálu</t>
    </r>
  </si>
  <si>
    <r>
      <rPr>
        <b/>
        <sz val="9"/>
        <rFont val="Arial"/>
        <family val="2"/>
        <charset val="238"/>
      </rPr>
      <t>Demontáž</t>
    </r>
    <r>
      <rPr>
        <sz val="9"/>
        <rFont val="Arial"/>
        <family val="2"/>
        <charset val="238"/>
      </rPr>
      <t xml:space="preserve"> stávajícícho venkovního mobiliáře včetně betonového základku včetně uskladnění a zpětné montáže</t>
    </r>
  </si>
  <si>
    <r>
      <rPr>
        <b/>
        <sz val="10"/>
        <rFont val="Arial"/>
        <family val="2"/>
        <charset val="238"/>
      </rPr>
      <t xml:space="preserve"> - Výkop v navážce </t>
    </r>
    <r>
      <rPr>
        <sz val="10"/>
        <rFont val="Arial"/>
        <family val="2"/>
        <charset val="238"/>
      </rPr>
      <t>pro vsakovací objekt od úrovně -3,810 na úroveň - 5,000, výměra: cca 3,14m2*1,20 (je započteno viz popis výše -vsakovací objekt) dopsat čísla položek</t>
    </r>
  </si>
  <si>
    <t xml:space="preserve"> - Zásyp štěrkem se zhutněním, výměra: cca 3,14m2*v. 1,20</t>
  </si>
  <si>
    <t xml:space="preserve"> - štěrkopísek netříděný (pevný stav 2,7t/m3), výměra : 3,768m3*2,7t</t>
  </si>
  <si>
    <t xml:space="preserve"> - Geotextilie po obvodu vsakovacího objektu , výměra: cca 6,3*1,20+3,14m2</t>
  </si>
  <si>
    <t xml:space="preserve"> - Hydrodynamická zkouška, kompletní provedení včetně dopravy, montáž a demontáž čerpací osádky a zařízení cca 2ks (upřesnit dle realizační dokumentace)</t>
  </si>
  <si>
    <t xml:space="preserve"> - Ochranná geotextilie, tl.  2 mm, výměra: cca obvod 2,10m*7,2m</t>
  </si>
  <si>
    <t xml:space="preserve"> - Hydroizolace - PVC-P fólie se zabudovaným skleněným  rounem, svařená, na koncích stažená páskami  tl. 4 mm, výměra: cca obvod 2,10m*7,2m</t>
  </si>
  <si>
    <t xml:space="preserve"> - Tepelná izolace - čedičová vata stažená strunami  tl. 100 mm, výměra: cca obvod 2,10m*7,2m</t>
  </si>
  <si>
    <t xml:space="preserve"> - Potrubí KG DN400, část podzemního  KG potrubí ve spádu 16,7%</t>
  </si>
  <si>
    <t xml:space="preserve"> - Koleno KG  DN400, 67°</t>
  </si>
  <si>
    <t xml:space="preserve"> - Štěrkopískový podsyp zhutněný,  tl. 150 mm, výměra: cca 0,80m*7,2m*0,15</t>
  </si>
  <si>
    <t xml:space="preserve"> - Výkop ve štěrkopísku , výměra :5,65bm*1,00*1,10+pro patku 2,32m2*1,95 + zásyp do násypu</t>
  </si>
  <si>
    <t xml:space="preserve"> - Těsnící vložka "hydroizolační" pro průnik potrubí KG DN 400 v místě prostupu  želbet stěnou </t>
  </si>
  <si>
    <t xml:space="preserve"> - Napojení potrubí DN 400 -1ks + DN 50 1ks skrz žlb. konstrukci do šachtového dna, Napojení hydroizolací, vodotěsné napojení pomocí  manžet, vodotěsný prostup žlb konstrukcí, vodotěsný prostup do šachtového dna průtočného přes žlb kci</t>
  </si>
  <si>
    <t xml:space="preserve"> - Železobetonový prefabrikát kónický tvar tl. 100mm, výška 850mm, h.h. cca průměr vnitřní  400mm, s.h.  průměr vnitřní 720mm, železobetonový staveništní prefabrikát,kónický tvar, vnější povrh z pohledového betonu s výrazným otiskem vertikálních prken - pro bednění budou použita kartáčovaná smrková prkna různých tlouštěk (cca 15, 18 mm), šířek (70, 90, 110 mm) a délek (1500,2000, 2500 mm) + bednění zřízení a odbednění+výztuž+příplatek za tvar kónický+příplatek za povrch pohledového betonu s otiskem </t>
  </si>
  <si>
    <t xml:space="preserve"> - Obetonování šachtového dna - ŽB C16/20 - stěny+ šachtové dno kruhového půdorysu  včetně bednění a výztuže; výměra: (2*3,14*r) ; 2*3,14*0,5*0,75*0,14 </t>
  </si>
  <si>
    <t xml:space="preserve"> - Šachtové dno průtočné plastové pro průměr DN 400mm, průměr h.h. 720mm, zaslepení šachty víkem</t>
  </si>
  <si>
    <t xml:space="preserve"> - Hydroizolace - fólie PVC-P svařená a přitížená zeminou, kolem obetonování šachty, výměra: 3,14*1,00*0,75</t>
  </si>
  <si>
    <t xml:space="preserve"> - Napojení trativodu KG DN 50, délka 2 m, zaústěno do vsakovacího objektu velikosti 0,5x0,5x0,5 m (štěrk obalený geotextilii), včetně vodotěsného napojení</t>
  </si>
  <si>
    <t xml:space="preserve"> - Vsakovací objekt velikosti 0,5x0,5x0,5 m (štěrk obalený geotextilii), včetně geotextilie</t>
  </si>
  <si>
    <t xml:space="preserve"> - Betonový základ - beton C16/20 + bednění - zřízení+odbednění, výměra: 3,14*0,46*0,46*0,90</t>
  </si>
  <si>
    <t xml:space="preserve"> - Demontáž výsadby trvalek 7ks/m2, včetně přesazení na určené místo a rozvojové péče po dobu výstavby kaple,  včetně uložení zeminy bez zhutnění z hrubým rozhrnutím, dodání ornice (tl. 15 cm), úprava terénu s rozpojením , přehrnutím a urovnáním,  hloubení jamek bez výměny půdy do 2-5L v rovině, výsadba květin hrnkovaných, prům květináče do 120mm, dodání dlouhodobě působícího hnojiva (ref Silvamix), hnojení minerálním hnojivem 10g/ks k vysazovaným rostlinám  v rovině,   výměra: 108m2</t>
  </si>
  <si>
    <t xml:space="preserve"> - Zpětná výsadba trvalek 7ks/m2 na původní místo, včetně uložení zeminy bez zhutnění z hrubým rozhrnutím, dodání ornice (tl. 15 cm), úprava terénu s rozpojením , přehrnutím a urovnáním,  hloubení jamek bez výměny půdy do 2-5L v rovině, výsadba květin hrnkovaných, prům květináče do 120mm, dodání dlouhodobě působícího hnojiva (ref Silvamix), hnojení minerálním hnojivem 10g/ks k vysazovaným rostlinám  v rovině , výměra: 108m2</t>
  </si>
  <si>
    <t xml:space="preserve"> - Rozvojová péče o výsadbu trvalek 2 roky, Chemické odplevelení po založení kultury smáčením v rovině, zalití ploch vodou, plochy přes 20 m2
</t>
  </si>
  <si>
    <t xml:space="preserve"> - Demontáž výsadby solitérních stromů vel. 16-18, včetně přesazení a dopravy na určené místo a rozvojové péče po dobu výstavby kaple, včetně hloubení jamek 0,40-1,0 m3 se 100% výměnou půdy v rovině, výsadba dřeviny s balem 50-60 cm v rovině, hnojení minerálním hnojivem 50g/ks k vysazovaným rostlinám  v rovině,  dodání dlouhodobě působícího hnojiva (ref Silvamix), ukotvení dřeviny podzemním kotvením do obvodu kmene 25 cm,  dodání sady pro kotvení za kořenový bal do obvodu kmene 20 cm, zhotovení obalu kmene z rákosové rohože v rovině, dodání rákosové rohože ke krytí kmene, zhotovení závlahové mísy přes 1m u solitérních dřevin v rovině, ošetření vysazených dřevin, výměra: 15ks</t>
  </si>
  <si>
    <t xml:space="preserve"> - Zpětná výsadba solitérních stromů vel. 16-18 na původní místo včetně dopravy, včetně hloubení jamek 0,40-1,0 m3 se 100% výměnou půdy v rovině, výsadba dřeviny s balem 50-60 cm v rovině, hnojení minerálním hnojivem 50g/ks k vysazovaným rostlinám  v rovině,  dodání dlouhodobě působícího hnojiva (ref Silvamix), ukotvení dřeviny podzemním kotvením do obvodu kmene 25 cm,  dodání sady pro kotvení za kořenový bal do obvodu kmene 20 cm, zhotovení obalu kmene z rákosové rohože v rovině, dodání rákosové rohože ke krytí kmene, zhotovení závlahové mísy přes 1m u solitérních dřevin v rovině, ošetření vysazených dřevin, rozvojová péče - 2roky: znovu uvázání dřeviny ke stávajícímu kůlu, odstranění ochrany kmene, výměra: 15ks</t>
  </si>
  <si>
    <t xml:space="preserve"> - Rozebrání části skladby - S 6 + zpětná montáž ;  výměra 52,95m2</t>
  </si>
  <si>
    <r>
      <rPr>
        <b/>
        <sz val="10"/>
        <rFont val="Arial"/>
        <family val="2"/>
        <charset val="238"/>
      </rPr>
      <t xml:space="preserve"> - Odstranění podkladu strojně</t>
    </r>
    <r>
      <rPr>
        <sz val="10"/>
        <rFont val="Arial"/>
        <family val="2"/>
        <charset val="238"/>
      </rPr>
      <t xml:space="preserve"> tl.do 200mm+ zpětná montáž - 
Štěrkodrť ŠD A 0-45mm, tl. 150mm, ČSN 73 6126-1,2 ;</t>
    </r>
    <r>
      <rPr>
        <b/>
        <sz val="10"/>
        <rFont val="Arial"/>
        <family val="2"/>
        <charset val="238"/>
      </rPr>
      <t xml:space="preserve"> výměra : 52,95m2</t>
    </r>
  </si>
  <si>
    <r>
      <rPr>
        <b/>
        <sz val="10"/>
        <rFont val="Arial"/>
        <family val="2"/>
        <charset val="238"/>
      </rPr>
      <t xml:space="preserve"> - Odstranění</t>
    </r>
    <r>
      <rPr>
        <sz val="10"/>
        <rFont val="Arial"/>
        <family val="2"/>
        <charset val="238"/>
      </rPr>
      <t xml:space="preserve"> Geotextilie včetně likvidace ; výměra : 52,95m2</t>
    </r>
  </si>
  <si>
    <r>
      <t xml:space="preserve"> - Rozebrání části skladby S 5  + </t>
    </r>
    <r>
      <rPr>
        <sz val="10"/>
        <rFont val="Arial"/>
        <family val="2"/>
        <charset val="238"/>
      </rPr>
      <t>zpětná montáž ; výměra 40,50</t>
    </r>
    <r>
      <rPr>
        <sz val="8"/>
        <rFont val="Arial"/>
        <family val="2"/>
        <charset val="238"/>
      </rPr>
      <t>m2</t>
    </r>
  </si>
  <si>
    <r>
      <t xml:space="preserve"> - Odstranění podkladu strojně tl.</t>
    </r>
    <r>
      <rPr>
        <sz val="10"/>
        <rFont val="Arial"/>
        <family val="2"/>
        <charset val="238"/>
      </rPr>
      <t xml:space="preserve"> do 300mm+zpětná montáž </t>
    </r>
  </si>
  <si>
    <r>
      <rPr>
        <b/>
        <sz val="10"/>
        <rFont val="Arial"/>
        <family val="2"/>
        <charset val="238"/>
      </rPr>
      <t xml:space="preserve"> - Odstranění</t>
    </r>
    <r>
      <rPr>
        <sz val="10"/>
        <rFont val="Arial"/>
        <family val="2"/>
        <charset val="238"/>
      </rPr>
      <t xml:space="preserve"> Geotextilie včetně likvidace ; výměra : 40,50m2</t>
    </r>
  </si>
  <si>
    <r>
      <t xml:space="preserve"> - Rozebrání části skladby S 5 A</t>
    </r>
    <r>
      <rPr>
        <sz val="10"/>
        <rFont val="Arial"/>
        <family val="2"/>
        <charset val="238"/>
      </rPr>
      <t xml:space="preserve"> +zpětná montáž ;výměra 20,90m2</t>
    </r>
  </si>
  <si>
    <t xml:space="preserve"> -Štěrkodrť  ŠD A 0-45mm, tl. 100mm, ČSN 73 6126-1,2</t>
  </si>
  <si>
    <r>
      <t xml:space="preserve"> - Dodávka + montáž;  </t>
    </r>
    <r>
      <rPr>
        <b/>
        <sz val="10"/>
        <rFont val="Arial"/>
        <family val="2"/>
        <charset val="238"/>
      </rPr>
      <t>geotextilie tkaná</t>
    </r>
    <r>
      <rPr>
        <sz val="10"/>
        <rFont val="Arial"/>
        <family val="2"/>
        <charset val="238"/>
      </rPr>
      <t xml:space="preserve"> separační, filtrační, výztužná PP pevnost v tahu 80kN/m</t>
    </r>
  </si>
  <si>
    <r>
      <t xml:space="preserve"> - Rozebrání části skladby S 9 </t>
    </r>
    <r>
      <rPr>
        <sz val="10"/>
        <rFont val="Arial"/>
        <family val="2"/>
        <charset val="238"/>
      </rPr>
      <t>+ zpětná montáž ; výměra 43,40m2</t>
    </r>
  </si>
  <si>
    <r>
      <t xml:space="preserve"> - Odstranění podkladu strojně tl.</t>
    </r>
    <r>
      <rPr>
        <sz val="10"/>
        <rFont val="Arial"/>
        <family val="2"/>
        <charset val="238"/>
      </rPr>
      <t xml:space="preserve"> do 350mm+zpětná montáž </t>
    </r>
  </si>
  <si>
    <r>
      <rPr>
        <b/>
        <sz val="10"/>
        <rFont val="Arial"/>
        <family val="2"/>
        <charset val="238"/>
      </rPr>
      <t xml:space="preserve"> - Očištění dlažebních kostek mozaikových</t>
    </r>
    <r>
      <rPr>
        <sz val="10"/>
        <rFont val="Arial"/>
        <family val="2"/>
        <charset val="238"/>
      </rPr>
      <t xml:space="preserve"> </t>
    </r>
  </si>
  <si>
    <r>
      <rPr>
        <b/>
        <sz val="10"/>
        <rFont val="Arial"/>
        <family val="2"/>
        <charset val="238"/>
      </rPr>
      <t xml:space="preserve"> - Demontáž 8 kamenných schodů 360x 160mm se zámkem</t>
    </r>
    <r>
      <rPr>
        <sz val="10"/>
        <rFont val="Arial"/>
        <family val="2"/>
        <charset val="238"/>
      </rPr>
      <t xml:space="preserve"> - plocha schodu 330 mm a výška nášlapu 150 mm,  </t>
    </r>
    <r>
      <rPr>
        <b/>
        <sz val="10"/>
        <rFont val="Arial"/>
        <family val="2"/>
        <charset val="238"/>
      </rPr>
      <t>k dalšímu použití</t>
    </r>
    <r>
      <rPr>
        <sz val="10"/>
        <rFont val="Arial"/>
        <family val="2"/>
        <charset val="238"/>
      </rPr>
      <t xml:space="preserve"> ; výměra 4,46*8ks</t>
    </r>
  </si>
  <si>
    <r>
      <rPr>
        <b/>
        <sz val="10"/>
        <rFont val="Arial"/>
        <family val="2"/>
        <charset val="238"/>
      </rPr>
      <t xml:space="preserve"> - Demontáž základu</t>
    </r>
    <r>
      <rPr>
        <sz val="10"/>
        <rFont val="Arial"/>
        <family val="2"/>
        <charset val="238"/>
      </rPr>
      <t xml:space="preserve"> pod schody z betonu C25/30 XF2  ČSN EN 206-1</t>
    </r>
  </si>
  <si>
    <r>
      <t xml:space="preserve"> - Vodorovná </t>
    </r>
    <r>
      <rPr>
        <sz val="10"/>
        <rFont val="Arial"/>
        <family val="2"/>
        <charset val="238"/>
      </rPr>
      <t xml:space="preserve">doprava schodů a tam a zpět  do cca 50m
na meziskládku a k dalšímu použití, </t>
    </r>
    <r>
      <rPr>
        <b/>
        <sz val="10"/>
        <rFont val="Arial"/>
        <family val="2"/>
        <charset val="238"/>
      </rPr>
      <t>; výměra:4,00t *2</t>
    </r>
  </si>
  <si>
    <r>
      <t xml:space="preserve"> - Vodorovná </t>
    </r>
    <r>
      <rPr>
        <sz val="10"/>
        <rFont val="Arial"/>
        <family val="2"/>
        <charset val="238"/>
      </rPr>
      <t xml:space="preserve">doprava základů  do cca 1km na skládku </t>
    </r>
    <r>
      <rPr>
        <b/>
        <sz val="10"/>
        <rFont val="Arial"/>
        <family val="2"/>
        <charset val="238"/>
      </rPr>
      <t>; výměra:4,41t</t>
    </r>
  </si>
  <si>
    <r>
      <t xml:space="preserve"> - Dtto, avšak příplatek  ZDK 1km</t>
    </r>
    <r>
      <rPr>
        <sz val="10"/>
        <rFont val="Arial"/>
        <family val="2"/>
        <charset val="238"/>
      </rPr>
      <t xml:space="preserve"> (</t>
    </r>
    <r>
      <rPr>
        <sz val="10"/>
        <rFont val="Calibri"/>
        <family val="2"/>
        <charset val="238"/>
      </rPr>
      <t>∑</t>
    </r>
    <r>
      <rPr>
        <sz val="10"/>
        <rFont val="Arial"/>
        <family val="2"/>
        <charset val="238"/>
      </rPr>
      <t xml:space="preserve"> 19km) , Kč</t>
    </r>
    <r>
      <rPr>
        <sz val="10"/>
        <rFont val="Calibri"/>
        <family val="2"/>
        <charset val="238"/>
      </rPr>
      <t>∑</t>
    </r>
    <r>
      <rPr>
        <sz val="10"/>
        <rFont val="Arial"/>
        <family val="2"/>
        <charset val="238"/>
      </rPr>
      <t>=(14,50Kč*19km)</t>
    </r>
  </si>
  <si>
    <r>
      <rPr>
        <b/>
        <sz val="10"/>
        <rFont val="Segoe UI"/>
        <family val="2"/>
        <charset val="238"/>
      </rPr>
      <t xml:space="preserve"> - Poplatek za uložení </t>
    </r>
    <r>
      <rPr>
        <sz val="10"/>
        <rFont val="Segoe UI"/>
        <family val="2"/>
        <charset val="238"/>
      </rPr>
      <t>na skládce (skládkovné) stavebního odpadu betonového kód odpadu 17 01 01</t>
    </r>
  </si>
  <si>
    <r>
      <rPr>
        <b/>
        <sz val="10"/>
        <rFont val="Arial"/>
        <family val="2"/>
        <charset val="238"/>
      </rPr>
      <t xml:space="preserve"> - Podsyp pod základové</t>
    </r>
    <r>
      <rPr>
        <sz val="10"/>
        <rFont val="Arial"/>
        <family val="2"/>
        <charset val="238"/>
      </rPr>
      <t xml:space="preserve"> konstrukce se zhutněním, výměra :0,40*4,46*0,10*8</t>
    </r>
  </si>
  <si>
    <r>
      <rPr>
        <b/>
        <sz val="10"/>
        <rFont val="Arial"/>
        <family val="2"/>
        <charset val="238"/>
      </rPr>
      <t xml:space="preserve"> - Základy z betonu </t>
    </r>
    <r>
      <rPr>
        <sz val="10"/>
        <rFont val="Arial"/>
        <family val="2"/>
        <charset val="238"/>
      </rPr>
      <t xml:space="preserve"> C25/30 XF2  ČSN EN 206-1 pod zpětně uložené kamenné schody </t>
    </r>
  </si>
  <si>
    <r>
      <rPr>
        <b/>
        <sz val="10"/>
        <rFont val="Arial"/>
        <family val="2"/>
        <charset val="238"/>
      </rPr>
      <t xml:space="preserve"> - Montáž 8 kamenných schodů </t>
    </r>
    <r>
      <rPr>
        <sz val="10"/>
        <rFont val="Arial"/>
        <family val="2"/>
        <charset val="238"/>
      </rPr>
      <t>360 x 160mmse zámkem - plocha schodu 330 mm a výška nášlapu 150 mm  ; výměra 4,46*8ks</t>
    </r>
  </si>
  <si>
    <r>
      <rPr>
        <b/>
        <sz val="10"/>
        <rFont val="Arial"/>
        <family val="2"/>
        <charset val="238"/>
      </rPr>
      <t xml:space="preserve"> - Vytrhání -parkový kamenný obrubník 100 x 200 mm </t>
    </r>
    <r>
      <rPr>
        <sz val="10"/>
        <rFont val="Arial"/>
        <family val="2"/>
        <charset val="238"/>
      </rPr>
      <t>uložený do betonového  lože s opěrou;</t>
    </r>
    <r>
      <rPr>
        <b/>
        <sz val="10"/>
        <rFont val="Arial"/>
        <family val="2"/>
        <charset val="238"/>
      </rPr>
      <t xml:space="preserve"> k dalšímu použití</t>
    </r>
  </si>
  <si>
    <r>
      <rPr>
        <b/>
        <sz val="10"/>
        <rFont val="Arial"/>
        <family val="2"/>
        <charset val="238"/>
      </rPr>
      <t xml:space="preserve"> - Demontáž betonové opěry</t>
    </r>
    <r>
      <rPr>
        <sz val="10"/>
        <rFont val="Arial"/>
        <family val="2"/>
        <charset val="238"/>
      </rPr>
      <t xml:space="preserve"> C25/30 XF2 , ČSN EN 206-1</t>
    </r>
  </si>
  <si>
    <r>
      <rPr>
        <b/>
        <sz val="10"/>
        <rFont val="Arial"/>
        <family val="2"/>
        <charset val="238"/>
      </rPr>
      <t xml:space="preserve"> - Očištění - parkový kamenný obrubník</t>
    </r>
    <r>
      <rPr>
        <sz val="10"/>
        <rFont val="Arial"/>
        <family val="2"/>
        <charset val="238"/>
      </rPr>
      <t xml:space="preserve"> 100 x 200 mm s opěrou</t>
    </r>
  </si>
  <si>
    <r>
      <rPr>
        <b/>
        <sz val="10"/>
        <rFont val="Arial"/>
        <family val="2"/>
        <charset val="238"/>
      </rPr>
      <t xml:space="preserve"> - Osazení parkového </t>
    </r>
    <r>
      <rPr>
        <sz val="10"/>
        <rFont val="Arial"/>
        <family val="2"/>
        <charset val="238"/>
      </rPr>
      <t xml:space="preserve">kamenného obrubníku 100 x 200mm s opěrou do betonového lože ; </t>
    </r>
    <r>
      <rPr>
        <b/>
        <sz val="10"/>
        <rFont val="Arial"/>
        <family val="2"/>
        <charset val="238"/>
      </rPr>
      <t>výměra</t>
    </r>
    <r>
      <rPr>
        <sz val="10"/>
        <rFont val="Arial"/>
        <family val="2"/>
        <charset val="238"/>
      </rPr>
      <t>: 10,60bm+5,60bm+35,65bm</t>
    </r>
  </si>
  <si>
    <r>
      <rPr>
        <b/>
        <sz val="9"/>
        <rFont val="Arial"/>
        <family val="2"/>
        <charset val="238"/>
      </rPr>
      <t xml:space="preserve"> - Zřízení kruhového</t>
    </r>
    <r>
      <rPr>
        <sz val="9"/>
        <rFont val="Arial"/>
        <family val="2"/>
        <charset val="238"/>
      </rPr>
      <t xml:space="preserve"> oboustranného bednění </t>
    </r>
    <r>
      <rPr>
        <b/>
        <sz val="9"/>
        <rFont val="Arial"/>
        <family val="2"/>
        <charset val="238"/>
      </rPr>
      <t>rohů</t>
    </r>
    <r>
      <rPr>
        <sz val="9"/>
        <rFont val="Arial"/>
        <family val="2"/>
        <charset val="238"/>
      </rPr>
      <t xml:space="preserve"> nosných stěn 
</t>
    </r>
    <r>
      <rPr>
        <b/>
        <sz val="9"/>
        <rFont val="Arial"/>
        <family val="2"/>
        <charset val="238"/>
      </rPr>
      <t xml:space="preserve"> r do 1m</t>
    </r>
    <r>
      <rPr>
        <sz val="9"/>
        <rFont val="Arial"/>
        <family val="2"/>
        <charset val="238"/>
      </rPr>
      <t xml:space="preserve"> včetně. Výměra ;  (4,08+17,27+8,48)m2</t>
    </r>
  </si>
  <si>
    <r>
      <rPr>
        <b/>
        <sz val="9"/>
        <rFont val="Arial"/>
        <family val="2"/>
        <charset val="238"/>
      </rPr>
      <t>Hloubení rýh</t>
    </r>
    <r>
      <rPr>
        <sz val="9"/>
        <rFont val="Arial"/>
        <family val="2"/>
        <charset val="238"/>
      </rPr>
      <t> nezapažených š do 800 mm v hornině třídy těžitelnosti I, skupiny 3 objem do 100 m3 strojně</t>
    </r>
  </si>
  <si>
    <r>
      <rPr>
        <b/>
        <sz val="9"/>
        <rFont val="Arial"/>
        <family val="2"/>
        <charset val="238"/>
      </rPr>
      <t>Výkop</t>
    </r>
    <r>
      <rPr>
        <sz val="9"/>
        <rFont val="Arial"/>
        <family val="2"/>
        <charset val="238"/>
      </rPr>
      <t xml:space="preserve"> pro vysazení kanalizační přípojky ze stávající stoky DN 315 v navážce,</t>
    </r>
  </si>
  <si>
    <t>Montáž lešení vnitřního lehkého 64,88m2*(5,15 + 2,75)</t>
  </si>
  <si>
    <t>Dtto, demontáž</t>
  </si>
  <si>
    <t>9) Nedílnou součástí Soupisu prací a dodávek s výkazem výměr je Příloha č. 1 - Všeobecné podmínky k Soupisu prací a dodávek.</t>
  </si>
  <si>
    <t>10) Před započetím prací budou ve spolupráci správců sítí vytyčeny veškeré inženýrské sítě</t>
  </si>
  <si>
    <t>11) V blízkosti inženýrských sítí budou veškeré práce prováděny ručně</t>
  </si>
  <si>
    <t xml:space="preserve">12) Výměry budou upřesněny v realizační dokumentaci </t>
  </si>
  <si>
    <t>13) Zpracování realizační dokumentace upřesňuje veškeré  návaznosti konstrukcí, detaily, s upřeněním rozměrů, kotevní materiál atd.</t>
  </si>
  <si>
    <t>14) Kóty a mocnosti uvedené v PD odpovídají vždy po zhutnění.</t>
  </si>
  <si>
    <t>15) Přesuny hmot jsou započítány v ceně, není-li uvedeno jinak.</t>
  </si>
  <si>
    <t xml:space="preserve">16) Oceňovat spolu s PD a TZ. </t>
  </si>
  <si>
    <t xml:space="preserve"> DPS</t>
  </si>
  <si>
    <t>Městská část Praha - Běchovice</t>
  </si>
  <si>
    <t>V Podbabě 2516, 160 00 Praha 6-Dejvice</t>
  </si>
  <si>
    <t>Příloha č. 1</t>
  </si>
  <si>
    <t>Všeobecné podmínky k Soupisu prací a dodávek</t>
  </si>
  <si>
    <t>Smluvní strany se budou řídit právním řádem České republiky</t>
  </si>
  <si>
    <t xml:space="preserve">Jednotkové ceny nabídky zahrnují zejména : </t>
  </si>
  <si>
    <t xml:space="preserve">a) Veškeré náklady pro zhotovení bezvadného funkčně způsobilého díla, které je předmětem smlouvy a bude schopno plnit řádně svoji funkci po dobu několika dalších desítek let. </t>
  </si>
  <si>
    <t xml:space="preserve">b) Náklady pro zajištění bezpečnosti práce, ochrany materiálů, součástí a dalších předmětů pro bezvadné realizované dílo. </t>
  </si>
  <si>
    <t>c) Náklady na přípomoce,pomocný a montážní materiál, lešení, přesuny hmot-není-li uvedeno jinak pro vnitřní i vnější dopravu,  na skladování, dovozné, balné, zpětné odevzdání obalů, cla, ochrany konstrukcí, poplatky za skládkovné, recyklaci, dále náklady na veškeré údžbářské, opravárenské, udržovací práce nutné pro zhotovení díla a náklady na podpěrné konstrukce pro jakoukoliv výšku, není-li stanoveno jinak.</t>
  </si>
  <si>
    <t xml:space="preserve">d) Náklady na veškerý úklid na staveništi uvnitř i vně během zhotovování díla bude prováděný pravidelně a konečný úklid před přejímkou. Odvozy prováděné pravidelně zbylé suti, hmot a odpadků během zhotovování díla a dle potřeby. </t>
  </si>
  <si>
    <t>e) Náklady na zhotovení, předložení a odstranění použitých vzorků materiálů a kvality práce pro zhotovení díla, předepsané zkoušky a atesty podle příslušných předpisů nebo potřebných norem pro prokázání bezchybné funkce díla.</t>
  </si>
  <si>
    <t>f) Náklady na ochranu a pojištění díla až do přejímky.</t>
  </si>
  <si>
    <t>g) Náklady na poskytnutí odborného dohledu t.j. odpovědného stavbyvedoucího a vedoucího šéfmontéra.</t>
  </si>
  <si>
    <t>h) Náklady na zhotovení výkresů, výpočtů a dalších výkonů potřebných pro detailní rozpracování projektů předaných zadavatelem, které jsou potřebné pro bezvadnou realizaci díla (realizační, dílenská a montážní dokumentace).</t>
  </si>
  <si>
    <t>i) Náklady na úpravu dokumentace - zpracování skutečného stavu provedeného díla, není-li uvedeno jinak.</t>
  </si>
  <si>
    <t>j) Náklady na zhotovení a demontáž zařízení staveniště a veškerých výkonů sloužících pro zhotovení díla a pro provoz díla uživatelů dále nepotřebných.</t>
  </si>
  <si>
    <t>k) Náklady na úhradu specialistů pro provedení zkoušek, které jsou pro provoz díla potřebné.</t>
  </si>
  <si>
    <t xml:space="preserve">l) Náklady na ochranu proti poškození stávajících konstrukcí nedotčených výstavbou. </t>
  </si>
  <si>
    <t xml:space="preserve">m) Náklady na ochranu proti promočení, povětrnostním a přírodním podmínkám všech stávajících a nových konstrukcí. </t>
  </si>
  <si>
    <t xml:space="preserve">n) Náklady na bezpečnostní opatření, která vyplývají z předpisů o bezpečnosti práce při demontážích, bourání a nové výstavbě. </t>
  </si>
  <si>
    <t>o) Náklady na znečištění a poškození díla. Zhotovitel musí své výkony, zejméná lícní pohledové plochy, obklady, plochy stěn podlahy a jejich povrchy, okna, dveře, zařizovací předměty a všechny ostatní části již zabudované a pod., chránit před zněčištěním a poškozením až do přejímky díla.</t>
  </si>
  <si>
    <r>
      <t xml:space="preserve">1) </t>
    </r>
    <r>
      <rPr>
        <sz val="10"/>
        <rFont val="Arial CE"/>
        <family val="2"/>
        <charset val="238"/>
      </rPr>
      <t>Jednotkové ceny uvedené v Soupise prací budou zahrnovat veškeré práce(montáže)a dodávky potřebné 
pro dokončení a předání díla objednateli do užívání bez vad a nedodělků. Nabízené jednotkové ceny jsou 
pevné ceny, platné až do přejímky ve smyslu obchodního práva. Práce a dodávky níže neuvedené a dodavatelem opodstatněné, uvede dodavatel samostatně pod čarou (nebo na samostatnou složku),kterou přiloží k nabídce. 
Na pozdější požadavky plynoucí z nejasností nebo omylu jsou vyloučena.Nedílnou součástí výkazu výměr 
je i projektová dokumentace. Dodávka - materiály a kvalifikovaná práce vyžaduje odevzdat dílo jako celek
tak, aby bylo schopno plnit řádně svoji funkci po dobu několika dalších desítek let.</t>
    </r>
  </si>
  <si>
    <r>
      <t xml:space="preserve">2) </t>
    </r>
    <r>
      <rPr>
        <sz val="10"/>
        <rFont val="Arial CE"/>
        <family val="2"/>
        <charset val="238"/>
      </rPr>
      <t>Zhotovitel je povinen si před předáním nabídky překontrolovat Soupis prací a dodávek s výkazem výměr 
dle PD, prohlédnout, přezkoumat staveniště  a jeho okolí a obstarat si všechny nezbytné a přístupné 
informace, které mu umožní zpracovat nabídku úplně a jednoznačně. Musí se přitom mezi jiným podrobně informovat o možnostech dopravy a přístupových cest, o možnostech spojení, obstarávání a skladování materiálu a dalších jiných souvisejících okolností a případná zjištěná rizika ve své nabídce dostatečně 
zohlednit. Pozdější požadavky plynoucí z omylu nebo neznalosti poměrů na staveništi nebo neúplného jsou vyloučena.</t>
    </r>
  </si>
  <si>
    <r>
      <t>3)</t>
    </r>
    <r>
      <rPr>
        <sz val="11"/>
        <color theme="1"/>
        <rFont val="Calibri"/>
        <family val="2"/>
        <charset val="238"/>
        <scheme val="minor"/>
      </rPr>
      <t xml:space="preserve"> Rozebírání konstrukcí bude prováděno opatrně postupným rozebíráním tj. ručním rozebíráním za pomoci ručních nástrojů  a páčidel s tím, že nebudou poškozeny žádné stávající konstrukce (stávající i nové). Budouli přesto poškozeny, jejich uvedení do původního stavu a s tím spojenou škodu (finanční náklady a další) si ponese v plném rozsahu zhotovitell.</t>
    </r>
  </si>
  <si>
    <r>
      <t xml:space="preserve">4) </t>
    </r>
    <r>
      <rPr>
        <sz val="11"/>
        <color theme="1"/>
        <rFont val="Calibri"/>
        <family val="2"/>
        <charset val="238"/>
        <scheme val="minor"/>
      </rPr>
      <t>Jednotkové ceny budou také zohledňovat požární ochranu:
Konstrukce budovy, členění stavby a použité materiály musí odpovídat českým požárním předpisům,  požadavkům a musí být v souladu s nejnovějšími poznatky. Požární předěly musí být řešeny esteticky (pokud možno beze změn v materiálech). Jednotkové ceny budou též obsahovat požární ucpávky, např. pískové. Respektována musí být ČSN 730872 "Požární bezpečnost staveb". Ochrana staveb proti šíření požáru vzduchotechnickým zařízením a technologickými prostupy a navazující předpisy.</t>
    </r>
  </si>
  <si>
    <r>
      <t>5)</t>
    </r>
    <r>
      <rPr>
        <sz val="11"/>
        <color theme="1"/>
        <rFont val="Calibri"/>
        <family val="2"/>
        <charset val="238"/>
        <scheme val="minor"/>
      </rPr>
      <t xml:space="preserve"> Jestliže se zdají být rozdílná pojetí ohledně druhu provedení při vypracování nabídky, je možná třeba před předáním nabídky vyžádat si vyjasnění se zadavatelem.</t>
    </r>
  </si>
  <si>
    <r>
      <t xml:space="preserve">6) </t>
    </r>
    <r>
      <rPr>
        <sz val="11"/>
        <color theme="1"/>
        <rFont val="Calibri"/>
        <family val="2"/>
        <charset val="238"/>
        <scheme val="minor"/>
      </rPr>
      <t>Zhotovitel prohlašuje, že všechny podmínky výběrového řízení ve všech jeho částech a přílohách zcela přečetl, přezkoumal a pochopil, a že uznává bez omezení, že pro něho jsou požadované výkony jasné a nerozporné, a že na základě své zkušenosti, technického a dispozičního personálu je schopen realizovat smluvní výkony bez závad, kompletně s funkční spolehlivostí, pohotově k použití respektivě provozuschopně podle uznávaných pravidel stavební techniky v daných lhůtách a termínech. Záruční lhůta činí zásadně minimálně 10(desel ) let.</t>
    </r>
  </si>
  <si>
    <r>
      <t>7)</t>
    </r>
    <r>
      <rPr>
        <sz val="11"/>
        <color theme="1"/>
        <rFont val="Calibri"/>
        <family val="2"/>
        <charset val="238"/>
        <scheme val="minor"/>
      </rPr>
      <t xml:space="preserve"> </t>
    </r>
    <r>
      <rPr>
        <sz val="10"/>
        <rFont val="Arial CE"/>
        <family val="2"/>
        <charset val="238"/>
      </rPr>
      <t>Existuje striktní zákaz používání látek poškozující lakové vrstvy (způsobující prohlubně) zejména polytetrafluorénů a obdobných látek. Tyto látky nesmí být ani ve stavebních materiálech, pomocných stavebních materiálech, ve stavebních dílcích, pracovních prostředcích a pod. na staveništi. Personál staveniště je třeba v pravidelných časových odstupech o tomto zákazu poučit. Poučení je nutno zaprotokolovat, vždy jednu kopii je třeba předat objednateli k založení.</t>
    </r>
  </si>
  <si>
    <r>
      <t xml:space="preserve">8) </t>
    </r>
    <r>
      <rPr>
        <sz val="10"/>
        <rFont val="Arial CE"/>
        <family val="2"/>
        <charset val="238"/>
      </rPr>
      <t>Rozpory v Soupisu prací a dodávek samy o sobě nebo v prováděcích podkladech k tomu příslušejících, je nutno, jakmile jsou zhotoviteli díla známy, písemně je sdělit objednateli.</t>
    </r>
  </si>
  <si>
    <r>
      <t>9)</t>
    </r>
    <r>
      <rPr>
        <sz val="11"/>
        <color theme="1"/>
        <rFont val="Calibri"/>
        <family val="2"/>
        <charset val="238"/>
        <scheme val="minor"/>
      </rPr>
      <t xml:space="preserve"> Jestliže požadovaná sdělení objednateli nedojdou, i když byla zhotoviteli známa, ručí zhotovitel díla za škody a špatné výkony, které jsou důsledkem takovýchto nejasností,  nemůže z těchto rozporů vyvodit žádné nároky na náhradu škody nebo omezení svého ručení.</t>
    </r>
  </si>
  <si>
    <r>
      <t>10</t>
    </r>
    <r>
      <rPr>
        <sz val="11"/>
        <color theme="1"/>
        <rFont val="Calibri"/>
        <family val="2"/>
        <charset val="238"/>
        <scheme val="minor"/>
      </rPr>
      <t>) Nedílnou součástí Soupisu prací a dodávek je i projektová dokumentace. Soupis prací a dodávek je určen pro ocenění díla nikoliv náhrada dokumentace.</t>
    </r>
  </si>
  <si>
    <t>Poznámky.</t>
  </si>
  <si>
    <t xml:space="preserve">  CÚ 2022/I</t>
  </si>
  <si>
    <t>CÚ 2022/I</t>
  </si>
  <si>
    <r>
      <rPr>
        <b/>
        <sz val="9"/>
        <rFont val="Arial"/>
        <family val="2"/>
        <charset val="238"/>
      </rPr>
      <t>Okno pevné se skrytými obvodovými rámy</t>
    </r>
    <r>
      <rPr>
        <sz val="9"/>
        <rFont val="Arial"/>
        <family val="2"/>
        <charset val="238"/>
      </rPr>
      <t xml:space="preserve"> a členěním ve tvaru kříže, spodní část: vel. cca š. 2400mm x v. 6680mm, rám dřevěný, dřevina dub, přírodní olej. Barva okapnice: bílá matná.Těsnění:  hnědé. Silikon: černý. Distanční rámeček (mezi sklem): tmavě hnědý. Výplň pevné části (spodní): čiré, izolační trojsklo, ESG 8/16/LE6/16/VSG55.2LE1.1, ug: 0.60 W/m2K. Výplň otvíravé části (horní): čiré, izolační trojsklo, F4/16/LE4/16/le4, ug: 0.60 w/m2K . Skládání bezrámu na stavbě.
Horní část: vel. cca š. 2400mm x v. 595mm, 2x otvíravé / výklopné okno se sloupkem, 
rám dřevohliníkový, dřevina dub, přírodní olej, z exteriéru hliníkový v barvě RAL 7016 antracitová šedá matná. Těsnění:  hnědé. Silikon: černý. Distanční rámeček (mezi sklem): tmavě hnědý. Sklo: čiré, izolační trojsklo. Bezfalcové provedení. Kování: povrch černý matný, rukojeť masivní zahnutá trubka ∅ 15 mm, masivní rozeta kruhový tvar.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Vnitřní parapet: dubový hranol 57 / 90-110, délka 2400 mm s nosem pro nasazení na zeď s cílem překrýt spáru, přírodní olej. 
Dodavatel předloží výrobní dokumentaci ke schválení architektovi stavby před započetím výroby. Rozměry nutno ověřit na stavbě. Podrobnosti viz dokumentace. Kompletní provedení.</t>
    </r>
  </si>
  <si>
    <r>
      <rPr>
        <b/>
        <sz val="9"/>
        <rFont val="Arial"/>
        <family val="2"/>
        <charset val="238"/>
      </rPr>
      <t>Obklad vstupní části a VZT šachty</t>
    </r>
    <r>
      <rPr>
        <sz val="9"/>
        <rFont val="Arial"/>
        <family val="2"/>
        <charset val="238"/>
      </rPr>
      <t>, kombinace plošného hladkého dřevěného obkladu a akustického plošného obkladu s vertikálním členěním, v horní části je navržena skříňka s policemi.</t>
    </r>
  </si>
  <si>
    <r>
      <rPr>
        <b/>
        <sz val="9"/>
        <rFont val="Arial"/>
        <family val="2"/>
        <charset val="238"/>
      </rPr>
      <t>Plošný hladký dřevěný obklad</t>
    </r>
    <r>
      <rPr>
        <sz val="9"/>
        <rFont val="Arial"/>
        <family val="2"/>
        <charset val="238"/>
      </rPr>
      <t xml:space="preserve">: 
Výměra: cca v. 2600mm x š. (1055+1055+350)mm, vel. cca (v. 1400 mm x š. 610mm) x2ks, vel. cca ( v. 1200mm x š. 350mm) x2ks, vel. cca v. 2400mm x š. 350mm, dřevěný pohled,  vel. cca š. 610mm x dl. 2000mm, dřevina dub, přírodní olej, biodeska tl. 20 mm,  kotveno přes nosný dřevěný rošt k nosné konstrukci. 
Sokl, vel. cca v. 100mm x dl. (1510mm x2ks+150mmx2ks), dřevěná dubová biodeska tl. , přírodní olej. 
Obložení parapetu okna, vel. cca v. 200mm x dl. 2000mm, dub, biodeska tl.20mm , přírodní olej + boční nákližek 2ks.
Skříňka zabudovaná do akustického obkladu: 3 police + dno ,  strop, boky a střední příčka, na zadní stěně rám pro konstrukci (výměral: cca 2150mmx300mmx5ks+1200x350mmx3+(2150mmx1000mm)x2ksx100mm),  korpus biodeska tl. 20mm, celkové rozměry cca š. 2150mm x v. 1200mm, hl. cca 350mm.
</t>
    </r>
    <r>
      <rPr>
        <b/>
        <sz val="9"/>
        <color indexed="8"/>
        <rFont val="Arial"/>
        <family val="2"/>
        <charset val="238"/>
      </rPr>
      <t/>
    </r>
  </si>
  <si>
    <r>
      <rPr>
        <b/>
        <sz val="9"/>
        <rFont val="Arial"/>
        <family val="2"/>
        <charset val="238"/>
      </rPr>
      <t>Akustický plošný obklad s vertikálním členěním:</t>
    </r>
    <r>
      <rPr>
        <sz val="9"/>
        <rFont val="Arial"/>
        <family val="2"/>
        <charset val="238"/>
      </rPr>
      <t xml:space="preserve">
Výměra: cca v. 2595mm x š. ( 1510mm + 150mm + 350mm + 50mm) a v. 2400mm x š.( 1510mm+350mm+50mm), v. 1200mm x š. 150mm, dvířka skříňky: vel. cca v. 1200mm x š. 2150 mm (2 x 1075mm - otvíravá křídla), biodeska tl. 20 mm, dřevina dub, přírodní olej,  koeficient zvukové= pohltivosti αw = 1,0, třída zvukové pohltivosti: A, akusticky otevřená plocha: 17,5%, vrchní deska z masivního dřeva - dub, (geometrie řezu: 15 mm pás – 3 mm drážka)
• 30 mm voštinové jádro
• rozměr cca. 33 x 200 x 2390 mm
• akustická fleecová zadní podšívka (současná ochrana proti zatékání)
Resistence proti nárazu, podrobnosti jsou uvedeny v dokumentaci.
Součástí dodávky je rovněž akustický výpočet, který ověří vhodnost navrhovaného materiálu na obklad stěny. Výpočet zohlední veškeré parametry prostoru lodě kaple. 
Výpočet bude předložen ke schválení před objednáním materiálu.
Dodavatel předloží vzorek materiálu akustického obkladu a hladkého obkladu k odsouhlasení architektem stavby.
Ukončení hrany ukončovacím profilem ze stejného druhu dřeva.
Všechny dřevěné prvky budou sjednoceny do podobného odstínu dřeva.
Podrobnosti viz dokumentace. Kompletní provedení.</t>
    </r>
  </si>
  <si>
    <r>
      <t>Akustický výpočet,</t>
    </r>
    <r>
      <rPr>
        <sz val="9"/>
        <rFont val="Arial"/>
        <family val="2"/>
        <charset val="238"/>
      </rPr>
      <t xml:space="preserve"> kompletní provedení</t>
    </r>
  </si>
  <si>
    <t>Spodní lem světlíku, Ø cca 2565mm, š. lemu cca 150mm, obruč - svařená mosazná konstrukce kotvená na chemické kotvy do železobetonové konstrukce. Povrchová úprava leštěním - cílem je dosáhnout barevnosti podobné zlatu.Tloušťka cca 5 mm.
Dodavatel předloží výrobní dokumentaci včetně statického posouzení ke schválení architektovi stavby před započetím výroby. Nutno koordinovat s prvkem KL15. Podrobnosti viz dokumentace. Kompletní provedení.</t>
  </si>
  <si>
    <t>Poznámky: rozměry ověřovat před výrobou na místě. klempířské výrobky musí být provedeny podle platných technických norem (ČSN). Uvedené prvky budou vždy dodány kompletní včetně montáže a potřebného pomocného materiálu jako jsou příponky, zatahovací plechy, tmelení apod. Klempířské okenní parapety na fasádě věže montovat před provedením finální povrchové úpravy fasády (omítky).  Dodávka bude zhotovena na základě realizační a dílenské dokumentace zhotovitele, který bude odsouhlasen architektem - budou zahrnuty veškeré materiály a kotvení (akceptace řešení zhotovitele architektem nezbaví zhotovitele zodpovědnosti plynoucí ze záruk za výrobek, výrobních vlastností dodávky a bezvadnou funkčnost výrobku jako celku).  Podrobnosti viz dokumentace. Kompletní provedení včetně montáže, kotvení, pomocného materiálu, mechanizace, dopravy a zaměření.</t>
  </si>
  <si>
    <t>Fasádní kazety z cortenové oceli (ocelový materiál s přirozenou masivní patinou), plocha cca 214,6m2,  tloušťka plechu 1,5 mm, šířka kazet 355 mm, délka až 3660 mm, součástí jsou rohové kazety v oblouku (segmenty - viz detaily), horní část částečně perforovaná obdélnými otvory - viz pohledy, včetně lemovacích prvků exteriérových tl. 1,0 mm, kotvícího a těsnícího materiálu (nerez, EPDM), podkonstrukce (Zn), rektifikačního rastru do betonu pro izolaci tl. 120 mm, obložení soklu, zakrytí svodu KL02 atypickými kazetami, spojovací prvky skryté, lemovací prvky na spodní hraně fasádního obkladu, perforace fasády, větrací mřížky, okapový systém, vestavky.  Část fasády u oken v 1.PP bude provedena jako odnímatelná. Dodavatel zpracuje kladečské plány a detaily fasády a předloží je k odsouhlasení před započetím výroby architektovi stavby, součástí montáže bude rovněž kontrola kvality montáže výrobcem fasádního systému - minimálně 2 náštěvy.  Podrobnosti viz dokumentace. Kompletní provedení včetně  montáže, kotvení, pomocného materiálu, mechanizace, dopravy a zaměření. Cena včetně  - tepelné izolace - minerální izolace tl. 120mm, montáž a dodávka a difúzní fólie tl. 1mm, montáž a dodávka, včetně přirážky za zaoblení stěn.</t>
  </si>
  <si>
    <t xml:space="preserve">2. Dodávka bude zhotovena na základě realizační a dílenské dokumentace zhotovitele, který bude odsouhlasen architektem - budou zahrnuty veškeré materiály, kování a kotvení (akceptace řešení zhotovitele architektem nezbaví zhotovitele zodpovědnosti plynoucí ze záruk za výrobek, výrobních vlastností dodávky a bezvadnou funkčnost výrobku jako celku). </t>
  </si>
  <si>
    <t>4. Podrobnosti viz dokumentace. U všech prvků kompletní provedení včetně montáže, kotvení, pomocného materiálu, mechanizace, dopravy a zaměření.</t>
  </si>
  <si>
    <r>
      <t xml:space="preserve">V1 </t>
    </r>
    <r>
      <rPr>
        <sz val="9"/>
        <rFont val="Arial"/>
        <family val="2"/>
        <charset val="238"/>
      </rPr>
      <t>Elektronické varhany, ks 1, určené pro malé kostely, kaple nebo koncertní síně. Varhany s interním reproduktorem umístěným na zadní části konzole (pro doprovázení sborů apod.).
Inovativní technologie, která nabízí přesný a pohlcující varhanní zvuk s bezprecedentní úrovní kvality - komplexní šestikanálový audio systém, který přispívá k jedinečnému zvukovému zážitku. Uzamykatelná roleta, lavice, držák na noty. 
Masivní dřevo – dub, přírodní olej, odstín oleje bude sjednocen s lavicemi T2.
2 manuály
4 x 27 rejstříků
4 unikátní varhanní styly: baroque, classic, romantic, symphonic
Interní reproduktory
pro kostely a kaple o až 300 návštěvnících</t>
    </r>
  </si>
  <si>
    <r>
      <t xml:space="preserve">V2  </t>
    </r>
    <r>
      <rPr>
        <sz val="9"/>
        <rFont val="Arial"/>
        <family val="2"/>
        <charset val="238"/>
      </rPr>
      <t>Sklopná pracovní plošina o rozměru 2230 x 400 mm, hliníková konstrukce, aretace ve svislé poloze u zdi na zámek, po sklopení do vodorovné polohy umožňuje pracovní přístup ke zvonům pro zajištění servisu. Barevnost konstrukce – kovářská černá matná. Protiskluzová pochozí plocha. Dodavatel předloží výrobní dokumentaci ke schválení architektovi stavby před započetím výroby.</t>
    </r>
  </si>
  <si>
    <r>
      <t>V3</t>
    </r>
    <r>
      <rPr>
        <sz val="9"/>
        <rFont val="Arial"/>
        <family val="2"/>
        <charset val="238"/>
      </rPr>
      <t xml:space="preserve"> Nástěnný WIFI router, PoE 15W, 2,4 / 5,0 GHz, Ethernet 10/100 Mbps, RJ45, IP20,  barva černá, Podrobná specifikace viz příloha D.1.12.5b.05, prvek P7.</t>
    </r>
  </si>
  <si>
    <r>
      <rPr>
        <b/>
        <sz val="9"/>
        <rFont val="Arial"/>
        <family val="2"/>
        <charset val="238"/>
      </rPr>
      <t>V4</t>
    </r>
    <r>
      <rPr>
        <sz val="9"/>
        <rFont val="Arial"/>
        <family val="2"/>
        <charset val="238"/>
      </rPr>
      <t xml:space="preserve"> Umělecké štuky 2 andělů, popř. jednoho anděla a sv. Kryštofa s atributy (spodobněný svatý bude vybrán dle vybraného názvu kaple) na stěnách z pohledového betonu, zdobeno zlatou barvou, výška 2,6 a 3 m, šířka 2,3 m. Design dle vizualizací. Kontrast oproti stěně z pohledového betonu. Světle béžový štuk, reliéf, s tmavší malbou hran. 
Dodavatel předloží konkrétní návrh od uměleckého štukatéra k odsouhlasení architektovi stavby: 
- vytvoření řady kresebných studií dle vedení architekta 
- provedení 3D modelů v měřítku dle výběru architekta
- návrhy variací možností kombinací materiálů a povrchů - vzorky technologických metod a použitých materiálů, provedení náhledu a vzorků řemeslných metod, provedení a odstín štuku bude vyvzorkován na velikosti plochy minimálně 1,0x1,0m.
Kompletní provedení včetně dílenské dokumentace včetně vizualizací ke schválení architektem a investorem před započetím prací, včetně montáže, kotvení, pomocného materiálu, mechanizace, dopravy a zaměření. Provedení a odstín štuku bude vyvzorkován na velikosti plochy minimálně 1,0x1,0m.</t>
    </r>
  </si>
  <si>
    <r>
      <t>V5 Z</t>
    </r>
    <r>
      <rPr>
        <sz val="9"/>
        <rFont val="Arial"/>
        <family val="2"/>
        <charset val="238"/>
      </rPr>
      <t>ásobník na ručníky – zásobník na papírové ručníky, plochý, nástěnný kovový nerezový matný, robusní antivandal, rozměr 275 x 330 x 133 (š x v x hl).</t>
    </r>
  </si>
  <si>
    <r>
      <t>V6</t>
    </r>
    <r>
      <rPr>
        <sz val="9"/>
        <rFont val="Arial"/>
        <family val="2"/>
        <charset val="238"/>
      </rPr>
      <t xml:space="preserve"> Mýdelník - dávkovač tekutého mýdla min. 1 l, mechanický, nástěnný, nerez matný, robustní, antivandal.</t>
    </r>
  </si>
  <si>
    <r>
      <t>V7</t>
    </r>
    <r>
      <rPr>
        <sz val="9"/>
        <rFont val="Arial"/>
        <family val="2"/>
        <charset val="238"/>
      </rPr>
      <t xml:space="preserve"> Odpadkový koš, nástěnný, matný nerez, robustní provedení, objem min. 20 l, </t>
    </r>
  </si>
  <si>
    <r>
      <t>V8</t>
    </r>
    <r>
      <rPr>
        <sz val="9"/>
        <rFont val="Arial"/>
        <family val="2"/>
        <charset val="238"/>
      </rPr>
      <t xml:space="preserve"> Zrcadlo nástěnné, čiré, v dřevěném rámu (dub), rozměr cca 1500 x 750 mm. </t>
    </r>
  </si>
  <si>
    <r>
      <t>V9</t>
    </r>
    <r>
      <rPr>
        <sz val="9"/>
        <rFont val="Arial"/>
        <family val="2"/>
        <charset val="238"/>
      </rPr>
      <t xml:space="preserve"> Dvojháček povrchová úprava lesklý chrom materiál mosaz</t>
    </r>
  </si>
  <si>
    <r>
      <t>V10</t>
    </r>
    <r>
      <rPr>
        <sz val="9"/>
        <rFont val="Arial"/>
        <family val="2"/>
        <charset val="238"/>
      </rPr>
      <t xml:space="preserve"> Umyvadlo, délka 600 mm, šířka 450 mm, výška 165 mm + páková umyvadlová baterie s odtokovou soupravou s táhlem + sifon umyvadlový, chrom + příslušenství</t>
    </r>
  </si>
  <si>
    <r>
      <t>V11</t>
    </r>
    <r>
      <rPr>
        <sz val="9"/>
        <rFont val="Arial"/>
        <family val="2"/>
        <charset val="238"/>
      </rPr>
      <t xml:space="preserve"> Klozet – závěsný klozet, uzavřený oplachový okruh, hluboké splachování, délka 540 mm, šířka 355 mm, výška 360 mm, osazení do výšky 430 mm (h.h. prkénka), včetně duroplastového prkénka s poklopem, nerezové úchyty, zvuková izolační vložka na stěnu.
+ Splachovací WC nádržka k závěsnému WC do sádrokartonové konstrukce. Montážní prvek pro profil se splachovací nádržkou, ovládání zepředu, stavební výška 1 120 mm. Pro instalaci do sádrokartonových profilů. Objem malého spláchnutí 3l, objem velkého spláchnutí 6l, Izolace proti orosení, Hydraulický plnící ventil nízké hlučnosti, akustická skupina 1 podle DIN 4109, Samonosný montážní rám s práškově lakovaným povrchem
Dvě závitové tyče M 12 s maticemi, Odpadní koleno toalety DN 90 s redukcí DN 90/100, materiál PP, Redukce je vhodná i pro horizontální instalace, Připojovací garnitura pro keramiky DN 90
+ Masivní ovládací tlačítko z nerezové oceli, ovládací tlačítko, které má tloušťku pouhých šest milimetrů, má sendvičovou konstrukci: Kovová vrchní deska o tloušťce dva milimetry chrání základní plastovou desku tak, aby nedocházelo k jejímu poškození vlivem častého používání splachovacího tlačítka ve veřejných prostorách. Lze namontovat skrytě proti možnosti odcizení tlačítka. Gumové podložky pod tlačítky spolehlivě snižují hluk při používání a tlačítka jsou tak při používání i příjemná na dotek. Toto masivní ovládací tlačítko má rozměry 220x150 milimetrů a je v provedení broušené nerezové oceli se speciální úpravou proti otiskům prstů.
(vše 1. jakost)
2 ks komplet
</t>
    </r>
  </si>
  <si>
    <r>
      <t>V12</t>
    </r>
    <r>
      <rPr>
        <sz val="9"/>
        <rFont val="Arial"/>
        <family val="2"/>
        <charset val="238"/>
      </rPr>
      <t xml:space="preserve"> Zásobník toaletního papíru nástěnný - matný nerez (AISI 304), rozměry 125 x průměr 250 mm, celokovové provedení, víko i tělo zásobníku jsou vyrobeny z jednoho kusu materiálu, zámek, průzor pro kontrolu stavu papíru, malé nároky na prostor, pro toaletní papír Jumbo (role toaletního papíru Jumbo průměr max 23 cm).</t>
    </r>
  </si>
  <si>
    <r>
      <t>V13</t>
    </r>
    <r>
      <rPr>
        <sz val="9"/>
        <rFont val="Arial"/>
        <family val="2"/>
        <charset val="238"/>
      </rPr>
      <t xml:space="preserve"> WC souprava závěsná, nerez matný, průměr 106 x 407 mm.</t>
    </r>
  </si>
  <si>
    <r>
      <t xml:space="preserve">V14  </t>
    </r>
    <r>
      <rPr>
        <sz val="9"/>
        <rFont val="Arial"/>
        <family val="2"/>
        <charset val="238"/>
      </rPr>
      <t>Formát š.1000mm x v. 2000mm, tloušťka vystupující betonové plochy s obtiskem dlaní rukou nad betonovou stěnu cca 30mm tak, aby nebyla porušena krycí vrstva výztuže. Umístění v m.č. 0.7 naproti vstupu do sakristie, střed formátu cca 1320mm zprava, s.h. formátu ve výšce 240mm od čisté podlahy. Bude vytvořena matrice do bednění z odlitků rukou místních občanů a dětí, obyvatel Běchovic. Budou připraveny formáty pro otisk dvojice rukou v rámečku pro kopyto cca 60ks  rukou, kde si do vhodného materiálu (např směs používanou pro otisk zubů) zachovávajícího detaily obtisklé ruky obtisknou obyvatelé Běchovic ruce. Odlitek bude zalit vhodnou směsí polyuretanů takových vlastností, aby byl vhodný jako vložka do bednění.  Dodavatel předloží výrobní dokumentaci, nejvhodnější postupy a materiály ke schválení architektovi stavby před započetím výroby. Nutno koordinovat s umístěním hasícího přístroje 21A . Podrobnosti viz dokumentace. Kompletní provedení včetně koordinace při provádění otisků a odlitků pro matrice, montáže, pomocného lešení, kotvení, podkladní konstrukce, pomocného materiálu, mechanizace, dopravy a zaměření.
Součástí prvku je také uspořádání akce pro občany Běchovic, kde dojde k otisku dlaní.</t>
    </r>
  </si>
  <si>
    <r>
      <t>V15</t>
    </r>
    <r>
      <rPr>
        <sz val="9"/>
        <rFont val="Arial"/>
        <family val="2"/>
        <charset val="238"/>
      </rPr>
      <t xml:space="preserve"> Závěsná keramická výlevka s plastovou mřížkou. Výlevka je dlouhá 50 cm. 
+ Podomítkový Istalační prvek pro montáž závěsné výlevky se samonosným ocelovým rámem s ukotvením na zem a do zadní stěny, montáž před nosnou stěnu nebo do sádrokartonové konstrukce, rozměry 525×1480×155 mm. Splachovací ventil je univerzální, umožňuje následnou výměnu tlačítka Start-Stop za Dual Flush. Nosnost modulu až 400kg. 
+ vodovodní baterie s otočným ramenem, délka ramene cca 300 mm, chrom, pákové ovládání
(vše 1. jakost)</t>
    </r>
  </si>
  <si>
    <r>
      <t>V17</t>
    </r>
    <r>
      <rPr>
        <sz val="9"/>
        <rFont val="Arial"/>
        <family val="2"/>
        <charset val="238"/>
      </rPr>
      <t xml:space="preserve">  2x závěs – termoizolační, délka 2,6 m, roztažená šířka 3,2 m, tyrkysová barva tlumená. Kolejnice přisazená k betonové konstrukci, barva černá matná, háčky skryté za látkou závěsu, dodavatel předloží vzorky k odsouhlasení architektem stavby. Dodavatel předloží vzorky k odsouhlasení architektem stavby včetně atestu výrobce. Kompletní provedení včetně montáže, kotvení, pomocného materiálu, mechanizace, dopravy a zaměření.</t>
    </r>
  </si>
  <si>
    <r>
      <t xml:space="preserve">V18  </t>
    </r>
    <r>
      <rPr>
        <sz val="9"/>
        <rFont val="Arial"/>
        <family val="2"/>
        <charset val="238"/>
      </rPr>
      <t>Reproduktory 2ks pro ozvučení kaple, umístěné na bočních stěnách, kotvené do stěny, bezdrátové propojení přes Bluetooth (pro přehrávání hudby pomocí telefonu, tabletu či notebooku), napojení na 230V, Typ soustavy: aktivní, šířka reproduktoru maximálně 17 cm, barva černá (kov nebo dřevo, nikoli plast), parametry a specifikace zařízení navrhne dodavatel ve spolupráci s odborníkem na ozvučení, aby bylo dosaženo  kvalitního ozvučení pro běžné přehrávání skladeb při bohoslužbách či kulturních akcí (bez požadavku na hlasitou hudbu).</t>
    </r>
  </si>
  <si>
    <t>Moderní designové vypínače a zásuvky s ostrými hranami, které jsou laděné do metalických odstínů. Rámečky a kryty vypínačů jsou složeny ze dvou vrstev různých barev, což dává vyniknout tvaru vypínače a jeho prostorovosti. Podrobnosti viz. část Silnoproudá elektrotechnika D.1.12.5a</t>
  </si>
  <si>
    <t>Revizní šachta z prefabrikovaných dílů betonová Ø 1000mm, v. 2915mm, + poklop DN 625mm s celolitinovým, odvětraným víkem, podrobnosti viz. D.1.12.4.04</t>
  </si>
  <si>
    <t>KGB 125/45°</t>
  </si>
  <si>
    <r>
      <rPr>
        <b/>
        <sz val="9"/>
        <rFont val="Arial"/>
        <family val="2"/>
        <charset val="238"/>
      </rPr>
      <t>Výkop</t>
    </r>
    <r>
      <rPr>
        <sz val="9"/>
        <rFont val="Arial"/>
        <family val="2"/>
        <charset val="238"/>
      </rPr>
      <t xml:space="preserve"> pro kanalizační potrubí v navážce, výměra: cca 11,5*0,80*0,45</t>
    </r>
  </si>
  <si>
    <r>
      <t xml:space="preserve">Rozvaděč RH1  skříňový 600x2000x200 – výzbroj dle výkresu č.  D.1.12.05a.02 </t>
    </r>
    <r>
      <rPr>
        <b/>
        <sz val="9"/>
        <rFont val="Arial"/>
        <family val="2"/>
        <charset val="238"/>
      </rPr>
      <t>+ příloha část světelně technická D.1.12.05b</t>
    </r>
    <r>
      <rPr>
        <b/>
        <u val="double"/>
        <sz val="9"/>
        <rFont val="Arial"/>
        <family val="2"/>
        <charset val="238"/>
      </rPr>
      <t xml:space="preserve"> </t>
    </r>
    <r>
      <rPr>
        <b/>
        <sz val="9"/>
        <rFont val="Arial"/>
        <family val="2"/>
        <charset val="238"/>
      </rPr>
      <t>"</t>
    </r>
  </si>
  <si>
    <r>
      <t xml:space="preserve">Ovládácí tlačítko 230V/10A  (vč. krabice), IP20 – blíže viz </t>
    </r>
    <r>
      <rPr>
        <b/>
        <sz val="9"/>
        <rFont val="Arial"/>
        <family val="2"/>
        <charset val="238"/>
      </rPr>
      <t xml:space="preserve">příloha část světelně technická D.1.12.05b" </t>
    </r>
  </si>
  <si>
    <r>
      <t xml:space="preserve">Ovládací panel osvětlení  – blíže viz </t>
    </r>
    <r>
      <rPr>
        <b/>
        <sz val="9"/>
        <rFont val="Arial"/>
        <family val="2"/>
        <charset val="238"/>
      </rPr>
      <t xml:space="preserve">příloha část světelně technická D.1.12.05b" </t>
    </r>
  </si>
  <si>
    <r>
      <t xml:space="preserve">WIFI -  blíže viz </t>
    </r>
    <r>
      <rPr>
        <b/>
        <sz val="9"/>
        <rFont val="Arial"/>
        <family val="2"/>
        <charset val="238"/>
      </rPr>
      <t xml:space="preserve">příloha část světelně technická  D.1.12.5b.05" a viz. příloha Tabulka ostatních prvků D.1.12.1.19"   </t>
    </r>
  </si>
  <si>
    <r>
      <t>Osvětlovací těleso typ</t>
    </r>
    <r>
      <rPr>
        <b/>
        <sz val="9"/>
        <rFont val="Arial"/>
        <family val="2"/>
        <charset val="238"/>
      </rPr>
      <t xml:space="preserve"> A1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</si>
  <si>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A2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</si>
  <si>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A3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</si>
  <si>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A4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</si>
  <si>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A5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</si>
  <si>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A6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</si>
  <si>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C1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</si>
  <si>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C2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</si>
  <si>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H0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</si>
  <si>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H1 </t>
    </r>
    <r>
      <rPr>
        <sz val="9"/>
        <rFont val="Arial"/>
        <family val="2"/>
        <charset val="238"/>
      </rPr>
      <t>dle legendy výkresu D.1.12.05a.03a a</t>
    </r>
    <r>
      <rPr>
        <b/>
        <sz val="9"/>
        <rFont val="Arial"/>
        <family val="2"/>
        <charset val="238"/>
      </rPr>
      <t xml:space="preserve"> přílohy  světelně technické" </t>
    </r>
  </si>
  <si>
    <r>
      <t>Osvětlovací těleso typ</t>
    </r>
    <r>
      <rPr>
        <b/>
        <sz val="9"/>
        <rFont val="Arial"/>
        <family val="2"/>
        <charset val="238"/>
      </rPr>
      <t xml:space="preserve"> H2 </t>
    </r>
    <r>
      <rPr>
        <sz val="9"/>
        <rFont val="Arial"/>
        <family val="2"/>
        <charset val="238"/>
      </rPr>
      <t>dle legendy výkresu D.1.12.05a.03a a</t>
    </r>
    <r>
      <rPr>
        <b/>
        <sz val="9"/>
        <rFont val="Arial"/>
        <family val="2"/>
        <charset val="238"/>
      </rPr>
      <t xml:space="preserve"> přílohy  světelně technické D.1.12.05b" </t>
    </r>
  </si>
  <si>
    <r>
      <t xml:space="preserve">Transformátor 230Vú12V dle </t>
    </r>
    <r>
      <rPr>
        <b/>
        <sz val="9"/>
        <rFont val="Arial"/>
        <family val="2"/>
        <charset val="238"/>
      </rPr>
      <t xml:space="preserve"> přílohy  světelně technické D.1.12.05b" </t>
    </r>
  </si>
  <si>
    <t>doprava, mechanizace, plošina, zaměření</t>
  </si>
  <si>
    <r>
      <t xml:space="preserve">Dodávka bude zhotovena na základě realizační a dílenské dokumentace zhotovitele, který bude odsouhlasen architektem a projektantem části PD - budou zahrnuty veškeré materiály a kotvení (akceptace řešení zhotovitele architektem nezbaví zhotovitele zodpovědnosti plynoucí ze záruk za výrobky, výrobních vlastností dodávky a bezvadnou funkčnost výrobků jako celku).  Podrobnosti viz dokumentace </t>
    </r>
    <r>
      <rPr>
        <b/>
        <sz val="9"/>
        <rFont val="Arial"/>
        <family val="2"/>
        <charset val="238"/>
      </rPr>
      <t>D.1.12.5a</t>
    </r>
    <r>
      <rPr>
        <sz val="9"/>
        <rFont val="Arial"/>
        <family val="2"/>
        <charset val="238"/>
      </rPr>
      <t>. Kompletní provedení včetně montáže, kotvení, pomocného materiálu, mechanizace, dopravy a zaměření.</t>
    </r>
  </si>
  <si>
    <r>
      <t xml:space="preserve">Poznámka všeobecně:  Dodávka bude zhotovena na základě realizační a dílenské dokumentace zhotovitele, který bude odsouhlasen architektem a projektantem části PD - budou zahrnuty veškeré materiály a kotvení (akceptace řešení zhotovitele architektem nezbaví zhotovitele zodpovědnosti plynoucí ze záruk za výrobky, výrobních vlastností dodávky a bezvadnou funkčnost výrobků jako celku).  Podrobnosti viz dokumentace </t>
    </r>
    <r>
      <rPr>
        <b/>
        <sz val="9"/>
        <rFont val="Arial"/>
        <family val="2"/>
        <charset val="238"/>
      </rPr>
      <t>D.1.12.5b</t>
    </r>
    <r>
      <rPr>
        <sz val="9"/>
        <rFont val="Arial"/>
        <family val="2"/>
        <charset val="238"/>
      </rPr>
      <t>. Kompletní provedení včetně montáže, kotvení, pomocného materiálu, mechanizace, dopravy a zaměření.</t>
    </r>
  </si>
  <si>
    <r>
      <t xml:space="preserve">Poznámka všeobecně:  Dodávka bude zhotovena na základě realizační a dílenské dokumentace zhotovitele, který bude odsouhlasen architektem a projektantem části PD - budou zahrnuty veškeré materiály a kotvení (akceptace řešení zhotovitele architektem nezbaví zhotovitele zodpovědnosti plynoucí ze záruk za výrobky, výrobních vlastností dodávky a bezvadnou funkčnost výrobků jako celku).  Podrobnosti viz dokumentace </t>
    </r>
    <r>
      <rPr>
        <b/>
        <sz val="9"/>
        <rFont val="Arial"/>
        <family val="2"/>
        <charset val="238"/>
      </rPr>
      <t>D.1.12.6</t>
    </r>
    <r>
      <rPr>
        <sz val="9"/>
        <rFont val="Arial"/>
        <family val="2"/>
        <charset val="238"/>
      </rPr>
      <t>. Kompletní provedení včetně montáže, kotvení, pomocného materiálu, mechanizace, dopravy a zaměření.</t>
    </r>
  </si>
  <si>
    <t>Výplně otvorů - dveře viz. D.1.12.1.15</t>
  </si>
  <si>
    <t>Poznámky:</t>
  </si>
  <si>
    <r>
      <t>Poznámka všeobecně:  Dodávka bude zhotovena na základě realizační a dílenské dokumentace zhotovitele, který bude odsouhlasen architektem a projektantem části PD - budou zahrnuty veškeré materiály a kotvení (akceptace řešení zhotovitele architektem nezbaví zhotovitele zodpovědnosti plynoucí ze záruk za výrobky, výrobních vlastností dodávky a bezvadnou funkčnost výrobků jako celku).  Podrobnosti viz dokumentace</t>
    </r>
    <r>
      <rPr>
        <b/>
        <sz val="9"/>
        <rFont val="Arial"/>
        <family val="2"/>
        <charset val="238"/>
      </rPr>
      <t xml:space="preserve"> D.1.12.4</t>
    </r>
    <r>
      <rPr>
        <sz val="9"/>
        <rFont val="Arial"/>
        <family val="2"/>
        <charset val="238"/>
      </rPr>
      <t>. Kompletní provedení včetně montáže, kotvení, pomocného materiálu, mechanizace, dopravy a zaměření.</t>
    </r>
  </si>
  <si>
    <r>
      <t xml:space="preserve"> </t>
    </r>
    <r>
      <rPr>
        <b/>
        <sz val="9"/>
        <rFont val="Arial"/>
        <family val="2"/>
        <charset val="238"/>
      </rPr>
      <t>2)</t>
    </r>
    <r>
      <rPr>
        <sz val="9"/>
        <rFont val="Arial"/>
        <family val="2"/>
        <charset val="238"/>
      </rPr>
      <t xml:space="preserve"> Bude použita </t>
    </r>
    <r>
      <rPr>
        <b/>
        <sz val="9"/>
        <rFont val="Arial"/>
        <family val="2"/>
        <charset val="238"/>
      </rPr>
      <t xml:space="preserve">třída pohledového betonu PBS </t>
    </r>
    <r>
      <rPr>
        <sz val="9"/>
        <rFont val="Arial"/>
        <family val="2"/>
        <charset val="238"/>
      </rPr>
      <t>pro architektonicky exponované plochy (technická pravidla pro pohledové betony ČBS 03 z roku 2018)- samozhutnitelný a kamenivo max 16mm, jednotný odstín, bez kaveren, pórovitosti, kompaktní povrch. Důraz kladen na rovinnost konstrukce a připravenost konstrukce vzhledem k obkladu z cortenového plechu, dodržení svislosti konstrukce.</t>
    </r>
  </si>
  <si>
    <r>
      <rPr>
        <b/>
        <sz val="9"/>
        <rFont val="Arial"/>
        <family val="2"/>
        <charset val="238"/>
      </rPr>
      <t xml:space="preserve"> 3) </t>
    </r>
    <r>
      <rPr>
        <sz val="9"/>
        <rFont val="Arial"/>
        <family val="2"/>
        <charset val="238"/>
      </rPr>
      <t>Dodavatel navrhne vhodnou recepturu betonu v součinnosti s technologickým oddělením betonárny. Před započetím prací budou vyrobeny referenční vzorky pohledových betonů, které dodavatel předloží k odsouhlasení architektovi stavby. Bude předložen vzorek pohledového betonu s výrazným otiskem vertikálních prken a pohledový beton hladký. Vzorky budou mít minimální rozměr pohledové plochy 1x1 m, vyvzorkovat i odstín betonu na vzorcích, dva odstíny o rozměrech 1x1m, výměra: (1,0*1,0*0,2*2)*2=0,80m3</t>
    </r>
  </si>
  <si>
    <r>
      <rPr>
        <b/>
        <sz val="9"/>
        <rFont val="Arial"/>
        <family val="2"/>
        <charset val="238"/>
      </rPr>
      <t xml:space="preserve"> 4) </t>
    </r>
    <r>
      <rPr>
        <sz val="9"/>
        <rFont val="Arial"/>
        <family val="2"/>
        <charset val="238"/>
      </rPr>
      <t>Stěny schodiště, konstrukce schodiště a vodorovná konstrukce chóru je z pohledového betonu hladkého. Bude použita typová elastická polyuretanová matrice do bednění, pro vytvoření strukturovaného a hladkého pohledového povrchu. Elasticita matric umožňuje bezproblémové odbednění i u komplikovaných a filigránových struktur. Matrice se do bednění lepí zadní stranou a na povrch se před každou betonáži aplikuje odbedňovací olej. Matrice má 100 násobnou obrátkovost. Matrice je hladká bez struktury a její tloušťka je 10mm. Při aplikaci matrice budou dodrženy technologické postupy výrobce.</t>
    </r>
  </si>
  <si>
    <r>
      <t xml:space="preserve"> </t>
    </r>
    <r>
      <rPr>
        <b/>
        <sz val="9"/>
        <rFont val="Arial"/>
        <family val="2"/>
        <charset val="238"/>
      </rPr>
      <t>5)</t>
    </r>
    <r>
      <rPr>
        <sz val="9"/>
        <rFont val="Arial"/>
        <family val="2"/>
        <charset val="238"/>
      </rPr>
      <t xml:space="preserve"> </t>
    </r>
    <r>
      <rPr>
        <b/>
        <sz val="9"/>
        <rFont val="Arial"/>
        <family val="2"/>
        <charset val="238"/>
      </rPr>
      <t>Pohledový beton</t>
    </r>
    <r>
      <rPr>
        <sz val="9"/>
        <rFont val="Arial"/>
        <family val="2"/>
        <charset val="238"/>
      </rPr>
      <t xml:space="preserve"> - 
 v Hlavní lodi tvoří stěny s </t>
    </r>
    <r>
      <rPr>
        <b/>
        <sz val="9"/>
        <rFont val="Arial"/>
        <family val="2"/>
        <charset val="238"/>
      </rPr>
      <t>výrazným otiskem vertikálních prken</t>
    </r>
    <r>
      <rPr>
        <sz val="9"/>
        <rFont val="Arial"/>
        <family val="2"/>
        <charset val="238"/>
      </rPr>
      <t>. 
 Prkna budou kartáčovaná smrková   ( tl.cca 15, 18mm šířek 70, 90, 110mm
 a délek 1500,2000,2500mm) pro bednění použít nová, jen vybraná                                     s výrazným otiskem. 
Podrobnosti viz Výkresová dokumentace a Technická zpráva strana 6 + 9 a příloha č.21</t>
    </r>
  </si>
  <si>
    <r>
      <t xml:space="preserve"> </t>
    </r>
    <r>
      <rPr>
        <b/>
        <sz val="9"/>
        <rFont val="Arial"/>
        <family val="2"/>
        <charset val="238"/>
      </rPr>
      <t>6)</t>
    </r>
    <r>
      <rPr>
        <sz val="9"/>
        <rFont val="Arial"/>
        <family val="2"/>
        <charset val="238"/>
      </rPr>
      <t xml:space="preserve"> Před objednáním a zabudováním konstrukcí, budou všechny výrobky vč. betonu pohledového vyvzorkovány a odsouhlaseny architektem a investorem.</t>
    </r>
  </si>
  <si>
    <r>
      <rPr>
        <b/>
        <sz val="10"/>
        <rFont val="Arial"/>
        <family val="2"/>
        <charset val="238"/>
      </rPr>
      <t xml:space="preserve"> - Vodorovné přemístění žulové mozaiky a dlažby  </t>
    </r>
    <r>
      <rPr>
        <sz val="10"/>
        <rFont val="Arial"/>
        <family val="2"/>
        <charset val="238"/>
      </rPr>
      <t>do 50m, se složením, na mezideponii a ke zpětnému</t>
    </r>
    <r>
      <rPr>
        <b/>
        <sz val="10"/>
        <rFont val="Arial"/>
        <family val="2"/>
        <charset val="238"/>
      </rPr>
      <t xml:space="preserve"> použití</t>
    </r>
    <r>
      <rPr>
        <sz val="10"/>
        <rFont val="Arial"/>
        <family val="2"/>
        <charset val="238"/>
      </rPr>
      <t xml:space="preserve">; </t>
    </r>
    <r>
      <rPr>
        <b/>
        <sz val="10"/>
        <rFont val="Arial"/>
        <family val="2"/>
        <charset val="238"/>
      </rPr>
      <t>výměra : ( 20,17+13,57+7,00+14,54)t*2</t>
    </r>
  </si>
  <si>
    <r>
      <t xml:space="preserve"> - Vodorovná </t>
    </r>
    <r>
      <rPr>
        <sz val="10"/>
        <rFont val="Arial"/>
        <family val="2"/>
        <charset val="238"/>
      </rPr>
      <t xml:space="preserve">doprava ŠD tam a zpět ze sypkých materiálů do cca 50m
na meziskládku a k dalšímu použití, </t>
    </r>
    <r>
      <rPr>
        <b/>
        <sz val="10"/>
        <rFont val="Arial"/>
        <family val="2"/>
        <charset val="238"/>
      </rPr>
      <t>; výměra:(23,56+25,80+13,06+31,25)t *2</t>
    </r>
  </si>
  <si>
    <r>
      <t xml:space="preserve"> - Vodorovné přemístění </t>
    </r>
    <r>
      <rPr>
        <sz val="10"/>
        <rFont val="Arial"/>
        <family val="2"/>
        <charset val="238"/>
      </rPr>
      <t xml:space="preserve">kamenných obrub tam i zpět do 50m, se složením, na mezideponii </t>
    </r>
    <r>
      <rPr>
        <b/>
        <sz val="10"/>
        <rFont val="Arial"/>
        <family val="2"/>
        <charset val="238"/>
      </rPr>
      <t>ke zpětnému použití</t>
    </r>
    <r>
      <rPr>
        <sz val="10"/>
        <rFont val="Arial"/>
        <family val="2"/>
        <charset val="238"/>
      </rPr>
      <t xml:space="preserve"> ; </t>
    </r>
    <r>
      <rPr>
        <b/>
        <sz val="10"/>
        <rFont val="Arial"/>
        <family val="2"/>
        <charset val="238"/>
      </rPr>
      <t>výměra : 17,11t*2</t>
    </r>
  </si>
  <si>
    <r>
      <t xml:space="preserve">Příplatek k vodorovnému přemístění  (navážka)výkopku/  sypaniny </t>
    </r>
    <r>
      <rPr>
        <sz val="9"/>
        <rFont val="Arial"/>
        <family val="2"/>
        <charset val="238"/>
      </rPr>
      <t>z horniny třídy
 těžitelnosti II, skupiny 4 a 5 ZKD 1000 m 
přes 10000 m 
(30km x ,,,,Kč)=Kč celkem</t>
    </r>
  </si>
  <si>
    <t>Příplatek k vodorovnému přemístění  (navážka)výkopku/  sypaniny z horniny třídy
těžitelnosti II, skupiny 4 a 5 ZKD 1000 m 
přes 10000 m 
(30km x ,,,,Kč)=Kč celkem</t>
  </si>
  <si>
    <r>
      <t xml:space="preserve"> - Hloubení jam nezapažených </t>
    </r>
    <r>
      <rPr>
        <sz val="10"/>
        <rFont val="Arial"/>
        <family val="2"/>
        <charset val="238"/>
      </rPr>
      <t xml:space="preserve">včetně zpevněného sjezdu v hornině třídy těžitelnosti I, skupiny 3 objem do 500 m3 strojně ( ; </t>
    </r>
    <r>
      <rPr>
        <b/>
        <sz val="10"/>
        <rFont val="Arial"/>
        <family val="2"/>
        <charset val="238"/>
      </rPr>
      <t>výměra :</t>
    </r>
    <r>
      <rPr>
        <sz val="10"/>
        <rFont val="Arial"/>
        <family val="2"/>
        <charset val="238"/>
      </rPr>
      <t>kopáno v původní navážce ,  výměra: 150m2*v. 2,41m+110m2*v. 2,41</t>
    </r>
    <r>
      <rPr>
        <b/>
        <sz val="10"/>
        <rFont val="Arial"/>
        <family val="2"/>
        <charset val="238"/>
      </rPr>
      <t xml:space="preserve"> </t>
    </r>
    <r>
      <rPr>
        <sz val="10"/>
        <rFont val="Arial"/>
        <family val="2"/>
        <charset val="238"/>
      </rPr>
      <t>+ pro vsakovací objekt 3,768 m3</t>
    </r>
  </si>
  <si>
    <r>
      <rPr>
        <b/>
        <sz val="10"/>
        <rFont val="Arial"/>
        <family val="2"/>
        <charset val="238"/>
      </rPr>
      <t xml:space="preserve"> - Zásyp  štěrkopísku</t>
    </r>
    <r>
      <rPr>
        <sz val="10"/>
        <rFont val="Arial"/>
        <family val="2"/>
        <charset val="238"/>
      </rPr>
      <t xml:space="preserve"> fr. 0-32m v místě vytěžené původní zeminy -navážka,  hutněno po v. 200mm, s rozprostřením,vlhčením a zhutněním ; výměra: 150m2*v. 2,41m+110m2*v. 2,41 - odpočet objektu v.1,35*74,95m2+pro dernáž 4,428m3</t>
    </r>
  </si>
  <si>
    <r>
      <t xml:space="preserve"> - Poplatek </t>
    </r>
    <r>
      <rPr>
        <sz val="10"/>
        <rFont val="Arial"/>
        <family val="2"/>
        <charset val="238"/>
      </rPr>
      <t>za uložení stavebního odpadu na recyklační skládce(skládkovné)       za /navážku=popel,cihly,prkénka,dráty/ bez obsahu dehtu zatříděného do Katalogu odpadů pod kódem 17 01 04</t>
    </r>
    <r>
      <rPr>
        <b/>
        <sz val="10"/>
        <rFont val="Arial"/>
        <family val="2"/>
        <charset val="238"/>
      </rPr>
      <t>; výměra : navážka - 626m3</t>
    </r>
  </si>
  <si>
    <r>
      <t xml:space="preserve"> - Hloubení jam nezapažených </t>
    </r>
    <r>
      <rPr>
        <sz val="10"/>
        <rFont val="Arial"/>
        <family val="2"/>
        <charset val="238"/>
      </rPr>
      <t>včetně zpevněného sjezdu v hornině třídy těžitelnosti I, skupiny 3 objem do 500 m3 strojně</t>
    </r>
    <r>
      <rPr>
        <b/>
        <sz val="10"/>
        <rFont val="Arial"/>
        <family val="2"/>
        <charset val="238"/>
      </rPr>
      <t>, (</t>
    </r>
    <r>
      <rPr>
        <sz val="10"/>
        <rFont val="Arial"/>
        <family val="2"/>
        <charset val="238"/>
      </rPr>
      <t>původní terén -1,60)</t>
    </r>
    <r>
      <rPr>
        <b/>
        <sz val="10"/>
        <rFont val="Arial"/>
        <family val="2"/>
        <charset val="238"/>
      </rPr>
      <t xml:space="preserve">
výměra :</t>
    </r>
    <r>
      <rPr>
        <sz val="10"/>
        <rFont val="Arial"/>
        <family val="2"/>
        <charset val="238"/>
      </rPr>
      <t xml:space="preserve"> (kopáno ve štěrkopísku fr. 0-32mm) ; 
výměra: 165m2*v.2,41m +117m2*v. 1,60m</t>
    </r>
  </si>
  <si>
    <r>
      <rPr>
        <b/>
        <sz val="10"/>
        <rFont val="Arial"/>
        <family val="2"/>
        <charset val="238"/>
      </rPr>
      <t xml:space="preserve"> - Štěrkopísek frakce 0-32</t>
    </r>
    <r>
      <rPr>
        <sz val="10"/>
        <rFont val="Arial"/>
        <family val="2"/>
        <charset val="238"/>
      </rPr>
      <t xml:space="preserve"> - dodávka</t>
    </r>
  </si>
  <si>
    <t>kamenivo přírodní těžené pro stavební účely  PTK  (drobné, hrubé, štěrkopísky) štěrkopísky ČSN 72  1511-2 frakce   0-32 ;</t>
  </si>
  <si>
    <r>
      <rPr>
        <b/>
        <sz val="10"/>
        <rFont val="Arial"/>
        <family val="2"/>
        <charset val="238"/>
      </rPr>
      <t xml:space="preserve"> - Zásyp</t>
    </r>
    <r>
      <rPr>
        <sz val="10"/>
        <rFont val="Arial"/>
        <family val="2"/>
        <charset val="238"/>
      </rPr>
      <t xml:space="preserve"> v uzavřených prostorech sypaninou se zhutněním z materiálu ze souvrství pod zpevněnými plochami</t>
    </r>
  </si>
  <si>
    <r>
      <rPr>
        <b/>
        <sz val="10"/>
        <rFont val="Arial"/>
        <family val="2"/>
        <charset val="238"/>
      </rPr>
      <t xml:space="preserve"> - Mezideponie štěrkopísku</t>
    </r>
    <r>
      <rPr>
        <sz val="10"/>
        <rFont val="Arial"/>
        <family val="2"/>
        <charset val="238"/>
      </rPr>
      <t xml:space="preserve"> do 10000m, odvoz vytěženého štěrkopísku fr. 0-32mm na mezideponii a zpět do zásypů; výměra : 585m3 +585m3</t>
    </r>
  </si>
  <si>
    <r>
      <t>Příplatek k lešení řadovému</t>
    </r>
    <r>
      <rPr>
        <sz val="9"/>
        <rFont val="Arial"/>
        <family val="2"/>
        <charset val="238"/>
      </rPr>
      <t xml:space="preserve"> modulovému těžkému š 1,5 m v přes 10 do 25 m za první a ZKD den použití,  150dní á 3,50Kč</t>
    </r>
  </si>
  <si>
    <r>
      <rPr>
        <b/>
        <sz val="9"/>
        <rFont val="Segoe UI"/>
        <family val="2"/>
        <charset val="238"/>
      </rPr>
      <t>Příplatek k leše</t>
    </r>
    <r>
      <rPr>
        <sz val="9"/>
        <rFont val="Segoe UI"/>
        <family val="2"/>
        <charset val="238"/>
      </rPr>
      <t>ní prostorovému rámovému lehkému s podlahami v do 10 m za první a 
ZKD den použití (150dní á 1,64Kč)</t>
    </r>
  </si>
  <si>
    <t>Objednatel:</t>
  </si>
  <si>
    <t>IČO:</t>
  </si>
  <si>
    <t>00240044</t>
  </si>
  <si>
    <t>Českobrodská 3, 190 11 Praha – Běchovice</t>
  </si>
  <si>
    <t>DIČ:</t>
  </si>
  <si>
    <t>Projektant:</t>
  </si>
  <si>
    <t>Zhotovitel:</t>
  </si>
  <si>
    <t>Sestavil:</t>
  </si>
  <si>
    <t>Za zhotovitele</t>
  </si>
  <si>
    <t>Za objednatele</t>
  </si>
  <si>
    <t>Celková rekapitulace stavby</t>
  </si>
  <si>
    <t>Rekapitulace bez DPH</t>
  </si>
  <si>
    <t>Rekapitulace s VRN bez DPH</t>
  </si>
  <si>
    <t>Rekapitulace s DPH 21%</t>
  </si>
  <si>
    <r>
      <t>Věra Ulčová</t>
    </r>
    <r>
      <rPr>
        <sz val="10"/>
        <rFont val="Arial"/>
        <family val="2"/>
        <charset val="238"/>
      </rPr>
      <t xml:space="preserve"> - SIMO (+420773518887)</t>
    </r>
  </si>
  <si>
    <r>
      <t xml:space="preserve">Ing. Josef Fuk </t>
    </r>
    <r>
      <rPr>
        <sz val="10"/>
        <rFont val="Arial"/>
        <family val="2"/>
        <charset val="238"/>
      </rPr>
      <t>- SIPK (+420606643181)</t>
    </r>
  </si>
  <si>
    <t>Stupeň dokumentace:</t>
  </si>
  <si>
    <t>….................................................</t>
  </si>
  <si>
    <t>V …............................, dne ….................</t>
  </si>
  <si>
    <t>Ostatní práce</t>
  </si>
  <si>
    <t>SO 704 - Kaple s vyhlídkou, výpisy prvků</t>
  </si>
  <si>
    <t>Celkem</t>
  </si>
  <si>
    <r>
      <t xml:space="preserve">Místo stavby: </t>
    </r>
    <r>
      <rPr>
        <b/>
        <sz val="10"/>
        <rFont val="Arial"/>
        <family val="2"/>
        <charset val="238"/>
      </rPr>
      <t>190 11 Praha - Běchovice</t>
    </r>
  </si>
  <si>
    <r>
      <t xml:space="preserve">Stupeň dokumentace:  </t>
    </r>
    <r>
      <rPr>
        <b/>
        <sz val="10"/>
        <rFont val="Arial"/>
        <family val="2"/>
        <charset val="238"/>
      </rPr>
      <t>DPS</t>
    </r>
  </si>
  <si>
    <t>SO 704 - Kaple s vyhlídkou, ZTI</t>
  </si>
  <si>
    <t xml:space="preserve">SO 704 - Kaple s vyhlídkou, Silnoproudá elektrotechnika </t>
  </si>
  <si>
    <t xml:space="preserve">A) Dodávky </t>
  </si>
  <si>
    <t>B) Hlavní montážní materiál</t>
  </si>
  <si>
    <t>B4) Hromosvod a uzemnění</t>
  </si>
  <si>
    <t>B5) Ostatní</t>
  </si>
  <si>
    <t>SO 704 - Kaple s vyhlídkou, Osvětlení</t>
  </si>
  <si>
    <t>SO 704 - Kaple s vyhlídkou, Vzduchotechnika a vytápění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</si>
</sst>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
    <numFmt numFmtId="166" formatCode="0.00000"/>
    <numFmt numFmtId="167" formatCode="0.000"/>
    <numFmt numFmtId="168" formatCode="0.0000"/>
  </numFmts>
  <fonts count="163">
    <font>
      <sz val="11"/>
      <color theme="1"/>
      <name val="Calibri"/>
      <family val="2"/>
      <charset val="238"/>
      <scheme val="minor"/>
    </font>
    <font>
      <sz val="11"/>
      <color indexed="8"/>
      <name val="Calibri"/>
      <family val="2"/>
      <charset val="238"/>
    </font>
    <font>
      <b/>
      <sz val="10"/>
      <name val="Arial"/>
      <family val="2"/>
      <charset val="238"/>
    </font>
    <font>
      <sz val="10"/>
      <name val="Arial"/>
      <family val="2"/>
      <charset val="238"/>
    </font>
    <font>
      <sz val="10"/>
      <color indexed="10"/>
      <name val="Arial"/>
      <family val="2"/>
      <charset val="238"/>
    </font>
    <font>
      <i/>
      <sz val="10"/>
      <name val="Arial"/>
      <family val="2"/>
      <charset val="238"/>
    </font>
    <font>
      <sz val="10"/>
      <color indexed="8"/>
      <name val="Arial"/>
      <family val="2"/>
      <charset val="238"/>
    </font>
    <font>
      <b/>
      <sz val="10"/>
      <color indexed="8"/>
      <name val="Arial"/>
      <family val="2"/>
      <charset val="238"/>
    </font>
    <font>
      <sz val="9"/>
      <name val="Arial"/>
      <family val="2"/>
      <charset val="238"/>
    </font>
    <font>
      <b/>
      <sz val="10"/>
      <color indexed="17"/>
      <name val="Arial"/>
      <family val="2"/>
      <charset val="238"/>
    </font>
    <font>
      <sz val="8"/>
      <color indexed="17"/>
      <name val="Arial"/>
      <family val="2"/>
      <charset val="238"/>
    </font>
    <font>
      <sz val="10"/>
      <color indexed="17"/>
      <name val="Arial"/>
      <family val="2"/>
      <charset val="238"/>
    </font>
    <font>
      <sz val="7"/>
      <name val="Arial"/>
      <family val="2"/>
      <charset val="238"/>
    </font>
    <font>
      <sz val="7"/>
      <color indexed="8"/>
      <name val="Arial"/>
      <family val="2"/>
      <charset val="238"/>
    </font>
    <font>
      <sz val="9"/>
      <color indexed="8"/>
      <name val="Arial"/>
      <family val="2"/>
      <charset val="238"/>
    </font>
    <font>
      <sz val="9"/>
      <color indexed="17"/>
      <name val="Arial"/>
      <family val="2"/>
      <charset val="238"/>
    </font>
    <font>
      <b/>
      <sz val="11"/>
      <color indexed="8"/>
      <name val="Calibri"/>
      <family val="2"/>
      <charset val="238"/>
    </font>
    <font>
      <sz val="7"/>
      <color indexed="17"/>
      <name val="Arial"/>
      <family val="2"/>
      <charset val="238"/>
    </font>
    <font>
      <sz val="8"/>
      <name val="Arial"/>
      <family val="2"/>
      <charset val="238"/>
    </font>
    <font>
      <sz val="10"/>
      <name val="Arial CE"/>
      <family val="2"/>
      <charset val="238"/>
    </font>
    <font>
      <b/>
      <sz val="8"/>
      <name val="Arial"/>
      <family val="2"/>
      <charset val="238"/>
    </font>
    <font>
      <b/>
      <sz val="9"/>
      <name val="Arial"/>
      <family val="2"/>
      <charset val="238"/>
    </font>
    <font>
      <sz val="7"/>
      <color indexed="10"/>
      <name val="Arial"/>
      <family val="2"/>
      <charset val="238"/>
    </font>
    <font>
      <b/>
      <sz val="10"/>
      <color indexed="10"/>
      <name val="Arial"/>
      <family val="2"/>
      <charset val="238"/>
    </font>
    <font>
      <sz val="9"/>
      <color indexed="10"/>
      <name val="Arial"/>
      <family val="2"/>
      <charset val="238"/>
    </font>
    <font>
      <sz val="8"/>
      <color indexed="10"/>
      <name val="Arial"/>
      <family val="2"/>
      <charset val="238"/>
    </font>
    <font>
      <b/>
      <sz val="8"/>
      <color indexed="8"/>
      <name val="Arial"/>
      <family val="2"/>
      <charset val="238"/>
    </font>
    <font>
      <b/>
      <sz val="9"/>
      <color indexed="8"/>
      <name val="Arial"/>
      <family val="2"/>
      <charset val="238"/>
    </font>
    <font>
      <b/>
      <sz val="11"/>
      <name val="Arial"/>
      <family val="2"/>
      <charset val="238"/>
    </font>
    <font>
      <b/>
      <sz val="7"/>
      <name val="Arial"/>
      <family val="2"/>
      <charset val="238"/>
    </font>
    <font>
      <b/>
      <i/>
      <sz val="10"/>
      <name val="Arial"/>
      <family val="2"/>
      <charset val="238"/>
    </font>
    <font>
      <sz val="10"/>
      <color indexed="30"/>
      <name val="Arial"/>
      <family val="2"/>
      <charset val="238"/>
    </font>
    <font>
      <b/>
      <sz val="10"/>
      <color indexed="30"/>
      <name val="Arial"/>
      <family val="2"/>
      <charset val="238"/>
    </font>
    <font>
      <sz val="9"/>
      <color indexed="30"/>
      <name val="Arial"/>
      <family val="2"/>
      <charset val="238"/>
    </font>
    <font>
      <sz val="10"/>
      <name val="Calibri"/>
      <family val="2"/>
      <charset val="238"/>
    </font>
    <font>
      <b/>
      <sz val="10"/>
      <color indexed="8"/>
      <name val="Segoe UI"/>
      <family val="2"/>
      <charset val="238"/>
    </font>
    <font>
      <sz val="10"/>
      <color indexed="8"/>
      <name val="Segoe UI"/>
      <family val="2"/>
      <charset val="238"/>
    </font>
    <font>
      <b/>
      <sz val="9"/>
      <color indexed="10"/>
      <name val="Arial"/>
      <family val="2"/>
      <charset val="238"/>
    </font>
    <font>
      <sz val="9"/>
      <color indexed="10"/>
      <name val="Arial"/>
      <family val="2"/>
      <charset val="238"/>
    </font>
    <font>
      <sz val="8"/>
      <color indexed="30"/>
      <name val="Arial"/>
      <family val="2"/>
      <charset val="238"/>
    </font>
    <font>
      <b/>
      <sz val="9"/>
      <color indexed="30"/>
      <name val="Arial"/>
      <family val="2"/>
      <charset val="238"/>
    </font>
    <font>
      <sz val="9"/>
      <color indexed="30"/>
      <name val="Arial"/>
      <family val="2"/>
      <charset val="238"/>
    </font>
    <font>
      <sz val="9"/>
      <color indexed="8"/>
      <name val="Calibri"/>
      <family val="2"/>
      <charset val="238"/>
    </font>
    <font>
      <sz val="9"/>
      <name val="Calibri"/>
      <family val="2"/>
      <charset val="238"/>
    </font>
    <font>
      <b/>
      <sz val="9"/>
      <color indexed="17"/>
      <name val="Arial"/>
      <family val="2"/>
      <charset val="238"/>
    </font>
    <font>
      <b/>
      <sz val="8"/>
      <color indexed="10"/>
      <name val="Arial"/>
      <family val="2"/>
      <charset val="238"/>
    </font>
    <font>
      <b/>
      <sz val="9"/>
      <color indexed="8"/>
      <name val="Segoe UI"/>
      <family val="2"/>
      <charset val="238"/>
    </font>
    <font>
      <sz val="9"/>
      <color indexed="8"/>
      <name val="Segoe UI"/>
      <family val="2"/>
      <charset val="238"/>
    </font>
    <font>
      <b/>
      <sz val="7"/>
      <color indexed="8"/>
      <name val="Arial"/>
      <family val="2"/>
      <charset val="238"/>
    </font>
    <font>
      <b/>
      <sz val="7"/>
      <color indexed="10"/>
      <name val="Arial"/>
      <family val="2"/>
      <charset val="238"/>
    </font>
    <font>
      <b/>
      <sz val="7"/>
      <color indexed="30"/>
      <name val="Arial"/>
      <family val="2"/>
      <charset val="238"/>
    </font>
    <font>
      <sz val="7"/>
      <color indexed="30"/>
      <name val="Arial"/>
      <family val="2"/>
      <charset val="238"/>
    </font>
    <font>
      <sz val="8"/>
      <color indexed="8"/>
      <name val="Arial"/>
      <family val="2"/>
      <charset val="238"/>
    </font>
    <font>
      <b/>
      <sz val="9"/>
      <color indexed="36"/>
      <name val="Arial"/>
      <family val="2"/>
      <charset val="238"/>
    </font>
    <font>
      <sz val="9"/>
      <color indexed="36"/>
      <name val="Arial"/>
      <family val="2"/>
      <charset val="238"/>
    </font>
    <font>
      <b/>
      <sz val="8"/>
      <color indexed="30"/>
      <name val="Arial"/>
      <family val="2"/>
      <charset val="238"/>
    </font>
    <font>
      <b/>
      <sz val="8"/>
      <color indexed="17"/>
      <name val="Arial"/>
      <family val="2"/>
      <charset val="238"/>
    </font>
    <font>
      <b/>
      <sz val="9"/>
      <color indexed="8"/>
      <name val="Calibri"/>
      <family val="2"/>
      <charset val="238"/>
    </font>
    <font>
      <sz val="7"/>
      <color indexed="40"/>
      <name val="Arial"/>
      <family val="2"/>
      <charset val="238"/>
    </font>
    <font>
      <sz val="10"/>
      <color indexed="8"/>
      <name val="Calibri"/>
      <family val="2"/>
      <charset val="238"/>
    </font>
    <font>
      <b/>
      <sz val="10"/>
      <color indexed="8"/>
      <name val="Calibri"/>
      <family val="2"/>
      <charset val="238"/>
    </font>
    <font>
      <b/>
      <sz val="10"/>
      <color indexed="10"/>
      <name val="Calibri"/>
      <family val="2"/>
      <charset val="238"/>
    </font>
    <font>
      <sz val="10"/>
      <color indexed="10"/>
      <name val="Calibri"/>
      <family val="2"/>
      <charset val="238"/>
    </font>
    <font>
      <sz val="8"/>
      <name val="Calibri"/>
      <family val="2"/>
      <charset val="238"/>
    </font>
    <font>
      <sz val="11"/>
      <name val="Arial"/>
      <family val="2"/>
      <charset val="238"/>
    </font>
    <font>
      <sz val="6"/>
      <name val="Arial"/>
      <family val="2"/>
      <charset val="238"/>
    </font>
    <font>
      <b/>
      <sz val="6"/>
      <name val="Arial"/>
      <family val="2"/>
      <charset val="238"/>
    </font>
    <font>
      <b/>
      <sz val="12"/>
      <name val="Arial"/>
      <family val="2"/>
      <charset val="238"/>
    </font>
    <font>
      <b/>
      <sz val="10"/>
      <name val="Segoe UI"/>
      <family val="2"/>
      <charset val="238"/>
    </font>
    <font>
      <i/>
      <sz val="9"/>
      <name val="Arial"/>
      <family val="2"/>
      <charset val="238"/>
    </font>
    <font>
      <sz val="12"/>
      <name val="Times New Roman CE"/>
      <charset val="238"/>
    </font>
    <font>
      <sz val="6"/>
      <name val="Segoe UI"/>
      <family val="2"/>
      <charset val="238"/>
    </font>
    <font>
      <b/>
      <sz val="6"/>
      <name val="Segoe UI"/>
      <family val="2"/>
      <charset val="238"/>
    </font>
    <font>
      <sz val="10"/>
      <name val="Segoe UI"/>
      <family val="2"/>
      <charset val="238"/>
    </font>
    <font>
      <b/>
      <sz val="10"/>
      <name val="Calibri"/>
      <family val="2"/>
      <charset val="238"/>
    </font>
    <font>
      <sz val="11"/>
      <name val="Calibri"/>
      <family val="2"/>
      <charset val="238"/>
    </font>
    <font>
      <b/>
      <sz val="11"/>
      <name val="Calibri"/>
      <family val="2"/>
      <charset val="238"/>
    </font>
    <font>
      <sz val="9"/>
      <name val="Segoe UI"/>
      <family val="2"/>
      <charset val="238"/>
    </font>
    <font>
      <b/>
      <sz val="9"/>
      <name val="Calibri"/>
      <family val="2"/>
      <charset val="238"/>
    </font>
    <font>
      <b/>
      <sz val="9"/>
      <name val="Segoe UI"/>
      <family val="2"/>
      <charset val="238"/>
    </font>
    <font>
      <sz val="8"/>
      <name val="Segoe UI"/>
      <family val="2"/>
      <charset val="238"/>
    </font>
    <font>
      <b/>
      <sz val="8"/>
      <name val="Segoe UI"/>
      <family val="2"/>
      <charset val="238"/>
    </font>
    <font>
      <sz val="10"/>
      <name val="Helv"/>
    </font>
    <font>
      <b/>
      <sz val="9"/>
      <name val="Arial CE"/>
      <family val="2"/>
      <charset val="238"/>
    </font>
    <font>
      <b/>
      <sz val="10"/>
      <name val="Arial CE"/>
      <family val="2"/>
      <charset val="238"/>
    </font>
    <font>
      <sz val="10"/>
      <name val="Arial"/>
      <family val="2"/>
    </font>
    <font>
      <b/>
      <u val="double"/>
      <sz val="9"/>
      <name val="Arial"/>
      <family val="2"/>
      <charset val="238"/>
    </font>
    <font>
      <b/>
      <sz val="11"/>
      <color theme="1"/>
      <name val="Calibri"/>
      <family val="2"/>
      <charset val="238"/>
      <scheme val="minor"/>
    </font>
    <font>
      <u/>
      <sz val="11"/>
      <color theme="10"/>
      <name val="Calibri"/>
      <family val="2"/>
      <charset val="238"/>
      <scheme val="minor"/>
    </font>
    <font>
      <sz val="11"/>
      <color rgb="FFFF0000"/>
      <name val="Calibri"/>
      <family val="2"/>
      <charset val="238"/>
      <scheme val="minor"/>
    </font>
    <font>
      <sz val="10"/>
      <color theme="1"/>
      <name val="Arial"/>
      <family val="2"/>
      <charset val="238"/>
    </font>
    <font>
      <b/>
      <sz val="10"/>
      <color theme="1"/>
      <name val="Arial"/>
      <family val="2"/>
      <charset val="238"/>
    </font>
    <font>
      <sz val="10"/>
      <color rgb="FFFF0000"/>
      <name val="Arial"/>
      <family val="2"/>
      <charset val="238"/>
    </font>
    <font>
      <sz val="10"/>
      <color rgb="FF00B050"/>
      <name val="Arial"/>
      <family val="2"/>
      <charset val="238"/>
    </font>
    <font>
      <sz val="7"/>
      <color theme="1"/>
      <name val="Arial"/>
      <family val="2"/>
      <charset val="238"/>
    </font>
    <font>
      <sz val="7"/>
      <color rgb="FF00B050"/>
      <name val="Arial"/>
      <family val="2"/>
      <charset val="238"/>
    </font>
    <font>
      <sz val="7"/>
      <color rgb="FF00B050"/>
      <name val="Segoe UI"/>
      <family val="2"/>
      <charset val="238"/>
    </font>
    <font>
      <sz val="9"/>
      <color theme="1"/>
      <name val="Arial"/>
      <family val="2"/>
      <charset val="238"/>
    </font>
    <font>
      <sz val="9"/>
      <color rgb="FF00B050"/>
      <name val="Arial"/>
      <family val="2"/>
      <charset val="238"/>
    </font>
    <font>
      <b/>
      <sz val="11"/>
      <color theme="1"/>
      <name val="Arial"/>
      <family val="2"/>
      <charset val="238"/>
    </font>
    <font>
      <b/>
      <sz val="9"/>
      <color theme="1"/>
      <name val="Arial"/>
      <family val="2"/>
      <charset val="238"/>
    </font>
    <font>
      <b/>
      <sz val="10"/>
      <color rgb="FFFF0000"/>
      <name val="Arial"/>
      <family val="2"/>
      <charset val="238"/>
    </font>
    <font>
      <sz val="7"/>
      <color rgb="FF646464"/>
      <name val="Segoe UI"/>
      <family val="2"/>
      <charset val="238"/>
    </font>
    <font>
      <sz val="7"/>
      <color rgb="FF646464"/>
      <name val="Arial"/>
      <family val="2"/>
      <charset val="238"/>
    </font>
    <font>
      <sz val="9"/>
      <color rgb="FFFF0000"/>
      <name val="Arial"/>
      <family val="2"/>
      <charset val="238"/>
    </font>
    <font>
      <sz val="7"/>
      <color theme="1"/>
      <name val="Calibri"/>
      <family val="2"/>
      <charset val="238"/>
      <scheme val="minor"/>
    </font>
    <font>
      <b/>
      <sz val="7"/>
      <color rgb="FF00B050"/>
      <name val="Segoe UI"/>
      <family val="2"/>
      <charset val="238"/>
    </font>
    <font>
      <b/>
      <sz val="10"/>
      <color rgb="FF00B050"/>
      <name val="Arial"/>
      <family val="2"/>
      <charset val="238"/>
    </font>
    <font>
      <b/>
      <sz val="7"/>
      <color rgb="FF00B050"/>
      <name val="Arial"/>
      <family val="2"/>
      <charset val="238"/>
    </font>
    <font>
      <b/>
      <sz val="10"/>
      <color rgb="FF0070C0"/>
      <name val="Arial"/>
      <family val="2"/>
      <charset val="238"/>
    </font>
    <font>
      <sz val="10"/>
      <color rgb="FF0070C0"/>
      <name val="Arial"/>
      <family val="2"/>
      <charset val="238"/>
    </font>
    <font>
      <b/>
      <sz val="7"/>
      <color theme="1"/>
      <name val="Arial"/>
      <family val="2"/>
      <charset val="238"/>
    </font>
    <font>
      <b/>
      <sz val="7"/>
      <color rgb="FFFF0000"/>
      <name val="Arial"/>
      <family val="2"/>
      <charset val="238"/>
    </font>
    <font>
      <b/>
      <sz val="7"/>
      <color rgb="FF0070C0"/>
      <name val="Arial"/>
      <family val="2"/>
      <charset val="238"/>
    </font>
    <font>
      <sz val="9"/>
      <color rgb="FF0070C0"/>
      <name val="Arial"/>
      <family val="2"/>
      <charset val="238"/>
    </font>
    <font>
      <sz val="7"/>
      <color rgb="FF0070C0"/>
      <name val="Arial"/>
      <family val="2"/>
      <charset val="238"/>
    </font>
    <font>
      <sz val="10"/>
      <color rgb="FF000000"/>
      <name val="Segoe UI"/>
      <family val="2"/>
      <charset val="238"/>
    </font>
    <font>
      <b/>
      <sz val="9"/>
      <color rgb="FFFF0000"/>
      <name val="Arial"/>
      <family val="2"/>
      <charset val="238"/>
    </font>
    <font>
      <sz val="8"/>
      <color rgb="FFFF0000"/>
      <name val="Arial"/>
      <family val="2"/>
      <charset val="238"/>
    </font>
    <font>
      <sz val="7"/>
      <color rgb="FFFF0000"/>
      <name val="Arial"/>
      <family val="2"/>
      <charset val="238"/>
    </font>
    <font>
      <sz val="8"/>
      <color rgb="FF0070C0"/>
      <name val="Arial"/>
      <family val="2"/>
      <charset val="238"/>
    </font>
    <font>
      <sz val="9"/>
      <color rgb="FF92D050"/>
      <name val="Arial"/>
      <family val="2"/>
      <charset val="238"/>
    </font>
    <font>
      <sz val="9"/>
      <color theme="1"/>
      <name val="Calibri"/>
      <family val="2"/>
      <charset val="238"/>
      <scheme val="minor"/>
    </font>
    <font>
      <b/>
      <sz val="8"/>
      <color theme="1"/>
      <name val="Arial"/>
      <family val="2"/>
      <charset val="238"/>
    </font>
    <font>
      <b/>
      <sz val="9"/>
      <color rgb="FF00B050"/>
      <name val="Arial"/>
      <family val="2"/>
      <charset val="238"/>
    </font>
    <font>
      <sz val="8"/>
      <color rgb="FF00B050"/>
      <name val="Arial"/>
      <family val="2"/>
      <charset val="238"/>
    </font>
    <font>
      <b/>
      <sz val="8"/>
      <color rgb="FFFF0000"/>
      <name val="Arial"/>
      <family val="2"/>
      <charset val="238"/>
    </font>
    <font>
      <sz val="9"/>
      <color rgb="FF000000"/>
      <name val="Arial"/>
      <family val="2"/>
      <charset val="238"/>
    </font>
    <font>
      <sz val="8"/>
      <color rgb="FF646464"/>
      <name val="Segoe UI"/>
      <family val="2"/>
      <charset val="238"/>
    </font>
    <font>
      <b/>
      <sz val="9"/>
      <color rgb="FF000000"/>
      <name val="Arial"/>
      <family val="2"/>
      <charset val="238"/>
    </font>
    <font>
      <sz val="8"/>
      <name val="Calibri"/>
      <family val="2"/>
      <charset val="238"/>
      <scheme val="minor"/>
    </font>
    <font>
      <sz val="11"/>
      <color rgb="FF000000"/>
      <name val="Arial"/>
      <family val="2"/>
      <charset val="238"/>
    </font>
    <font>
      <sz val="9"/>
      <color rgb="FF000000"/>
      <name val="Segoe UI"/>
      <family val="2"/>
      <charset val="238"/>
    </font>
    <font>
      <sz val="9"/>
      <color rgb="FF7030A0"/>
      <name val="Arial"/>
      <family val="2"/>
      <charset val="238"/>
    </font>
    <font>
      <sz val="7"/>
      <color rgb="FF7030A0"/>
      <name val="Arial"/>
      <family val="2"/>
      <charset val="238"/>
    </font>
    <font>
      <sz val="8"/>
      <color theme="1"/>
      <name val="Arial"/>
      <family val="2"/>
      <charset val="238"/>
    </font>
    <font>
      <sz val="7"/>
      <color rgb="FF00B0F0"/>
      <name val="Arial"/>
      <family val="2"/>
      <charset val="238"/>
    </font>
    <font>
      <b/>
      <sz val="10"/>
      <color theme="1"/>
      <name val="Calibri"/>
      <family val="2"/>
      <charset val="238"/>
      <scheme val="minor"/>
    </font>
    <font>
      <sz val="10"/>
      <color theme="1"/>
      <name val="Calibri"/>
      <family val="2"/>
      <charset val="238"/>
      <scheme val="minor"/>
    </font>
    <font>
      <sz val="10"/>
      <color rgb="FF00B050"/>
      <name val="Calibri"/>
      <family val="2"/>
      <charset val="238"/>
      <scheme val="minor"/>
    </font>
    <font>
      <sz val="9"/>
      <color rgb="FF00B050"/>
      <name val="Calibri"/>
      <family val="2"/>
      <charset val="238"/>
      <scheme val="minor"/>
    </font>
    <font>
      <sz val="11"/>
      <color rgb="FF00B050"/>
      <name val="Calibri"/>
      <family val="2"/>
      <charset val="238"/>
      <scheme val="minor"/>
    </font>
    <font>
      <sz val="10"/>
      <color rgb="FF000000"/>
      <name val="Calibri"/>
      <family val="2"/>
      <charset val="238"/>
      <scheme val="minor"/>
    </font>
    <font>
      <sz val="9"/>
      <color rgb="FF000000"/>
      <name val="Calibri"/>
      <family val="2"/>
      <charset val="238"/>
      <scheme val="minor"/>
    </font>
    <font>
      <b/>
      <sz val="10"/>
      <color rgb="FF000000"/>
      <name val="Calibri"/>
      <family val="2"/>
      <charset val="238"/>
      <scheme val="minor"/>
    </font>
    <font>
      <b/>
      <sz val="7"/>
      <color rgb="FFFF0000"/>
      <name val="Calibri"/>
      <family val="2"/>
      <charset val="238"/>
      <scheme val="minor"/>
    </font>
    <font>
      <sz val="7"/>
      <color rgb="FFFF0000"/>
      <name val="Calibri"/>
      <family val="2"/>
      <charset val="238"/>
      <scheme val="minor"/>
    </font>
    <font>
      <sz val="10"/>
      <color rgb="FFFF0000"/>
      <name val="Calibri"/>
      <family val="2"/>
      <charset val="238"/>
      <scheme val="minor"/>
    </font>
    <font>
      <sz val="9"/>
      <color rgb="FFFF0000"/>
      <name val="Calibri"/>
      <family val="2"/>
      <charset val="238"/>
      <scheme val="minor"/>
    </font>
    <font>
      <b/>
      <sz val="9"/>
      <color theme="1"/>
      <name val="Calibri"/>
      <family val="2"/>
      <charset val="238"/>
      <scheme val="minor"/>
    </font>
    <font>
      <sz val="14"/>
      <color rgb="FFFF0000"/>
      <name val="Arial"/>
      <family val="2"/>
      <charset val="238"/>
    </font>
    <font>
      <sz val="7"/>
      <name val="Calibri"/>
      <family val="2"/>
      <charset val="238"/>
      <scheme val="minor"/>
    </font>
    <font>
      <sz val="10"/>
      <name val="Calibri"/>
      <family val="2"/>
      <charset val="238"/>
      <scheme val="minor"/>
    </font>
    <font>
      <sz val="6"/>
      <name val="Calibri"/>
      <family val="2"/>
      <charset val="238"/>
      <scheme val="minor"/>
    </font>
    <font>
      <sz val="9"/>
      <name val="Calibri"/>
      <family val="2"/>
      <charset val="238"/>
      <scheme val="minor"/>
    </font>
    <font>
      <sz val="11"/>
      <name val="Calibri"/>
      <family val="2"/>
      <charset val="238"/>
      <scheme val="minor"/>
    </font>
    <font>
      <b/>
      <sz val="10"/>
      <name val="Calibri"/>
      <family val="2"/>
      <charset val="238"/>
      <scheme val="minor"/>
    </font>
    <font>
      <b/>
      <sz val="9"/>
      <name val="Calibri"/>
      <family val="2"/>
      <charset val="238"/>
      <scheme val="minor"/>
    </font>
    <font>
      <b/>
      <sz val="12"/>
      <color rgb="FF000000"/>
      <name val="Calibri"/>
      <family val="2"/>
      <charset val="238"/>
    </font>
    <font>
      <b/>
      <sz val="11"/>
      <color rgb="FF000000"/>
      <name val="Calibri"/>
      <family val="2"/>
      <charset val="238"/>
    </font>
    <font>
      <b/>
      <sz val="14"/>
      <color rgb="FF000000"/>
      <name val="Calibri"/>
      <family val="2"/>
      <charset val="238"/>
    </font>
    <font>
      <b/>
      <sz val="10"/>
      <color rgb="FF000000"/>
      <name val="Arial"/>
      <family val="2"/>
      <charset val="238"/>
    </font>
    <font>
      <sz val="10"/>
      <color rgb="FF000000"/>
      <name val="Arial"/>
      <family val="2"/>
      <charset val="238"/>
    </font>
  </fonts>
  <fills count="6">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99CCFF"/>
        <bgColor indexed="64"/>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top/>
      <bottom style="medium">
        <color rgb="FFD9D9D9"/>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88" fillId="0" borderId="0" applyNumberFormat="0" applyFill="0" applyBorder="0" applyAlignment="0" applyProtection="0"/>
    <xf numFmtId="0" fontId="19" fillId="0" borderId="0"/>
    <xf numFmtId="0" fontId="70" fillId="0" borderId="0"/>
    <xf numFmtId="0" fontId="3" fillId="0" borderId="0"/>
  </cellStyleXfs>
  <cellXfs count="737">
    <xf numFmtId="0" fontId="0" fillId="0" borderId="0" xfId="0"/>
    <xf numFmtId="0" fontId="2" fillId="0" borderId="0" xfId="0" applyFont="1" applyAlignment="1">
      <alignment horizontal="center" vertical="center" wrapText="1"/>
    </xf>
    <xf numFmtId="0" fontId="3" fillId="0" borderId="0" xfId="0" applyFont="1" applyAlignment="1">
      <alignment vertical="top" wrapText="1"/>
    </xf>
    <xf numFmtId="0" fontId="3" fillId="0" borderId="0" xfId="0" applyFont="1" applyAlignment="1">
      <alignment vertical="top"/>
    </xf>
    <xf numFmtId="3" fontId="3" fillId="0" borderId="0" xfId="0" applyNumberFormat="1" applyFont="1" applyAlignment="1">
      <alignment vertical="top"/>
    </xf>
    <xf numFmtId="3" fontId="3" fillId="0" borderId="0" xfId="0" applyNumberFormat="1" applyFont="1" applyAlignment="1" applyProtection="1">
      <alignment vertical="top"/>
      <protection locked="0"/>
    </xf>
    <xf numFmtId="164" fontId="3" fillId="0" borderId="0" xfId="0" applyNumberFormat="1" applyFont="1" applyAlignment="1">
      <alignment vertical="top"/>
    </xf>
    <xf numFmtId="0" fontId="2" fillId="0" borderId="0" xfId="0" applyFont="1" applyAlignment="1">
      <alignment vertical="top" wrapText="1"/>
    </xf>
    <xf numFmtId="3" fontId="3" fillId="0" borderId="0" xfId="0" applyNumberFormat="1" applyFont="1" applyAlignment="1" applyProtection="1">
      <alignment vertical="top" wrapText="1"/>
      <protection locked="0"/>
    </xf>
    <xf numFmtId="2" fontId="5" fillId="0" borderId="0" xfId="0" applyNumberFormat="1" applyFont="1" applyAlignment="1">
      <alignment vertical="top" wrapText="1"/>
    </xf>
    <xf numFmtId="3"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right" vertical="top"/>
    </xf>
    <xf numFmtId="0" fontId="3" fillId="0" borderId="0" xfId="0" applyFont="1" applyAlignment="1">
      <alignment horizontal="left" vertical="top" wrapText="1"/>
    </xf>
    <xf numFmtId="2" fontId="3" fillId="0" borderId="0" xfId="0" applyNumberFormat="1" applyFont="1" applyAlignment="1">
      <alignment horizontal="right" vertical="top" wrapText="1"/>
    </xf>
    <xf numFmtId="3" fontId="3" fillId="0" borderId="0" xfId="0" applyNumberFormat="1" applyFont="1" applyAlignment="1">
      <alignment horizontal="right" vertical="top" wrapText="1"/>
    </xf>
    <xf numFmtId="0" fontId="3" fillId="0" borderId="0" xfId="0" applyFont="1" applyAlignment="1">
      <alignment horizontal="right" vertical="top" wrapText="1"/>
    </xf>
    <xf numFmtId="0" fontId="90" fillId="0" borderId="0" xfId="0" applyFont="1" applyAlignment="1">
      <alignment vertical="top"/>
    </xf>
    <xf numFmtId="0" fontId="90" fillId="0" borderId="0" xfId="0" applyFont="1"/>
    <xf numFmtId="0" fontId="90" fillId="0" borderId="0" xfId="0" applyFont="1" applyAlignment="1">
      <alignment vertical="top" wrapText="1"/>
    </xf>
    <xf numFmtId="0" fontId="91" fillId="0" borderId="0" xfId="0" applyFont="1" applyAlignment="1">
      <alignment vertical="top"/>
    </xf>
    <xf numFmtId="0" fontId="92" fillId="0" borderId="0" xfId="0" applyFont="1" applyAlignment="1">
      <alignment vertical="top"/>
    </xf>
    <xf numFmtId="0" fontId="91" fillId="0" borderId="0" xfId="0" applyFont="1" applyAlignment="1">
      <alignment vertical="top" wrapText="1"/>
    </xf>
    <xf numFmtId="0" fontId="92" fillId="0" borderId="0" xfId="0" applyFont="1" applyAlignment="1">
      <alignment vertical="top" wrapText="1"/>
    </xf>
    <xf numFmtId="0" fontId="93" fillId="0" borderId="0" xfId="0" applyFont="1" applyAlignment="1">
      <alignment vertical="top"/>
    </xf>
    <xf numFmtId="3" fontId="93" fillId="0" borderId="0" xfId="0" applyNumberFormat="1" applyFont="1" applyAlignment="1" applyProtection="1">
      <alignment vertical="top" wrapText="1"/>
      <protection locked="0"/>
    </xf>
    <xf numFmtId="4" fontId="94" fillId="0" borderId="0" xfId="0" applyNumberFormat="1" applyFont="1" applyAlignment="1">
      <alignment vertical="top"/>
    </xf>
    <xf numFmtId="4" fontId="12" fillId="0" borderId="0" xfId="0" applyNumberFormat="1" applyFont="1" applyAlignment="1">
      <alignment vertical="top"/>
    </xf>
    <xf numFmtId="4" fontId="95" fillId="0" borderId="0" xfId="0" applyNumberFormat="1" applyFont="1" applyAlignment="1">
      <alignment vertical="top"/>
    </xf>
    <xf numFmtId="4" fontId="12" fillId="0" borderId="0" xfId="0" applyNumberFormat="1" applyFont="1" applyAlignment="1">
      <alignment horizontal="right" vertical="top" wrapText="1"/>
    </xf>
    <xf numFmtId="4" fontId="94" fillId="0" borderId="0" xfId="0" applyNumberFormat="1" applyFont="1"/>
    <xf numFmtId="3" fontId="93" fillId="0" borderId="0" xfId="0" applyNumberFormat="1" applyFont="1" applyAlignment="1" applyProtection="1">
      <alignment vertical="top"/>
      <protection locked="0"/>
    </xf>
    <xf numFmtId="0" fontId="94" fillId="0" borderId="0" xfId="0" applyFont="1" applyAlignment="1">
      <alignment horizontal="left" vertical="top"/>
    </xf>
    <xf numFmtId="1" fontId="12" fillId="0" borderId="0" xfId="0" applyNumberFormat="1" applyFont="1" applyAlignment="1">
      <alignment horizontal="left" vertical="top" wrapText="1"/>
    </xf>
    <xf numFmtId="1" fontId="95" fillId="0" borderId="0" xfId="0" applyNumberFormat="1" applyFont="1" applyAlignment="1">
      <alignment horizontal="left" vertical="top" wrapText="1"/>
    </xf>
    <xf numFmtId="0" fontId="96" fillId="0" borderId="0" xfId="0" applyFont="1" applyAlignment="1">
      <alignment horizontal="left" vertical="top"/>
    </xf>
    <xf numFmtId="0" fontId="95" fillId="0" borderId="0" xfId="0" applyFont="1" applyAlignment="1">
      <alignment horizontal="left" vertical="top"/>
    </xf>
    <xf numFmtId="1" fontId="12" fillId="0" borderId="0" xfId="0" applyNumberFormat="1" applyFont="1" applyAlignment="1">
      <alignment horizontal="left" vertical="top"/>
    </xf>
    <xf numFmtId="0" fontId="12" fillId="0" borderId="0" xfId="0" applyFont="1" applyAlignment="1">
      <alignment horizontal="left" vertical="top"/>
    </xf>
    <xf numFmtId="0" fontId="12" fillId="0" borderId="0" xfId="0" applyFont="1" applyAlignment="1">
      <alignment horizontal="left" vertical="top" wrapText="1"/>
    </xf>
    <xf numFmtId="3" fontId="97" fillId="0" borderId="0" xfId="0" applyNumberFormat="1" applyFont="1" applyAlignment="1">
      <alignment vertical="top"/>
    </xf>
    <xf numFmtId="3" fontId="98" fillId="0" borderId="0" xfId="0" applyNumberFormat="1" applyFont="1" applyAlignment="1">
      <alignment vertical="top" wrapText="1"/>
    </xf>
    <xf numFmtId="3" fontId="8" fillId="0" borderId="0" xfId="0" applyNumberFormat="1" applyFont="1" applyAlignment="1">
      <alignment horizontal="right" vertical="top" wrapText="1"/>
    </xf>
    <xf numFmtId="3" fontId="97" fillId="0" borderId="0" xfId="0" applyNumberFormat="1" applyFont="1"/>
    <xf numFmtId="0" fontId="96" fillId="0" borderId="0" xfId="0" applyFont="1" applyAlignment="1">
      <alignment horizontal="left" vertical="top" wrapText="1"/>
    </xf>
    <xf numFmtId="0" fontId="18" fillId="0" borderId="0" xfId="0" applyFont="1" applyAlignment="1">
      <alignment horizontal="center" vertical="center" wrapText="1"/>
    </xf>
    <xf numFmtId="0" fontId="3" fillId="0" borderId="0" xfId="0" applyFont="1" applyAlignment="1">
      <alignment wrapText="1"/>
    </xf>
    <xf numFmtId="0" fontId="18" fillId="0" borderId="0" xfId="0" applyFont="1" applyAlignment="1">
      <alignment horizontal="right" vertical="top" wrapText="1"/>
    </xf>
    <xf numFmtId="2" fontId="8" fillId="0" borderId="0" xfId="0" applyNumberFormat="1" applyFont="1" applyAlignment="1">
      <alignment horizontal="right" vertical="top" wrapText="1"/>
    </xf>
    <xf numFmtId="164" fontId="8" fillId="0" borderId="0" xfId="0" applyNumberFormat="1" applyFont="1" applyAlignment="1">
      <alignment vertical="top" wrapText="1"/>
    </xf>
    <xf numFmtId="4" fontId="12" fillId="0" borderId="0" xfId="0" applyNumberFormat="1" applyFont="1" applyAlignment="1">
      <alignment horizontal="right"/>
    </xf>
    <xf numFmtId="0" fontId="8" fillId="0" borderId="0" xfId="0" applyFont="1"/>
    <xf numFmtId="0" fontId="2" fillId="0" borderId="0" xfId="0" applyFont="1" applyAlignment="1">
      <alignment horizontal="center" wrapText="1"/>
    </xf>
    <xf numFmtId="0" fontId="3" fillId="0" borderId="0" xfId="0" applyFont="1" applyAlignment="1">
      <alignment horizontal="center"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3" fillId="0" borderId="0" xfId="0" applyFont="1" applyAlignment="1">
      <alignment horizontal="left" wrapText="1"/>
    </xf>
    <xf numFmtId="0" fontId="3" fillId="0" borderId="0" xfId="0" applyFont="1" applyAlignment="1">
      <alignment horizontal="left" vertical="center" wrapText="1"/>
    </xf>
    <xf numFmtId="3" fontId="8" fillId="0" borderId="0" xfId="0" applyNumberFormat="1" applyFont="1" applyAlignment="1">
      <alignment horizontal="right" wrapText="1"/>
    </xf>
    <xf numFmtId="0" fontId="3" fillId="0" borderId="0" xfId="2" applyFont="1" applyAlignment="1">
      <alignment horizontal="left" wrapText="1"/>
    </xf>
    <xf numFmtId="0" fontId="20" fillId="0" borderId="0" xfId="0" applyFont="1" applyAlignment="1">
      <alignment horizontal="center" vertical="top" wrapText="1"/>
    </xf>
    <xf numFmtId="3" fontId="21" fillId="0" borderId="0" xfId="0" applyNumberFormat="1" applyFont="1" applyAlignment="1">
      <alignment horizontal="right" vertical="top" wrapText="1"/>
    </xf>
    <xf numFmtId="0" fontId="2" fillId="0" borderId="0" xfId="0" applyFont="1" applyAlignment="1">
      <alignment horizontal="right" vertical="top" wrapText="1"/>
    </xf>
    <xf numFmtId="0" fontId="20" fillId="0" borderId="0" xfId="0" applyFont="1" applyAlignment="1">
      <alignment horizontal="right" vertical="top" wrapText="1"/>
    </xf>
    <xf numFmtId="3" fontId="21" fillId="0" borderId="0" xfId="0" applyNumberFormat="1" applyFont="1" applyAlignment="1">
      <alignment horizontal="center" vertical="top" wrapText="1"/>
    </xf>
    <xf numFmtId="49" fontId="8"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2" fontId="8" fillId="0" borderId="1" xfId="0" applyNumberFormat="1" applyFont="1" applyBorder="1" applyAlignment="1">
      <alignment horizontal="center" vertical="center" wrapText="1"/>
    </xf>
    <xf numFmtId="164" fontId="18" fillId="0" borderId="1" xfId="0" applyNumberFormat="1" applyFont="1" applyBorder="1" applyAlignment="1">
      <alignment horizontal="center" vertical="center" wrapText="1"/>
    </xf>
    <xf numFmtId="4" fontId="12" fillId="0" borderId="1" xfId="0" applyNumberFormat="1" applyFont="1" applyBorder="1" applyAlignment="1">
      <alignment horizontal="center" vertical="top" wrapText="1"/>
    </xf>
    <xf numFmtId="0" fontId="93" fillId="0" borderId="0" xfId="0" applyFont="1" applyAlignment="1">
      <alignment vertical="top" wrapText="1"/>
    </xf>
    <xf numFmtId="3" fontId="93" fillId="0" borderId="0" xfId="0" applyNumberFormat="1" applyFont="1" applyAlignment="1">
      <alignment vertical="top"/>
    </xf>
    <xf numFmtId="0" fontId="99" fillId="0" borderId="0" xfId="0" applyFont="1" applyAlignment="1">
      <alignment horizontal="center" vertical="center"/>
    </xf>
    <xf numFmtId="0" fontId="100" fillId="0" borderId="0" xfId="0" applyFont="1"/>
    <xf numFmtId="3" fontId="100" fillId="0" borderId="0" xfId="0" applyNumberFormat="1" applyFont="1"/>
    <xf numFmtId="0" fontId="91" fillId="0" borderId="0" xfId="0" applyFont="1"/>
    <xf numFmtId="0" fontId="20" fillId="0" borderId="0" xfId="0" applyFont="1" applyAlignment="1">
      <alignment horizontal="center" vertical="center" wrapText="1"/>
    </xf>
    <xf numFmtId="0" fontId="21" fillId="0" borderId="0" xfId="0" applyFont="1" applyAlignment="1">
      <alignment horizontal="center" vertical="center" wrapText="1"/>
    </xf>
    <xf numFmtId="0" fontId="28" fillId="0" borderId="0" xfId="0" applyFont="1" applyAlignment="1">
      <alignment horizontal="center" vertical="center" wrapText="1"/>
    </xf>
    <xf numFmtId="0" fontId="8" fillId="0" borderId="1" xfId="0" applyFont="1" applyBorder="1" applyAlignment="1">
      <alignment horizontal="center" vertical="center" wrapText="1"/>
    </xf>
    <xf numFmtId="3" fontId="18" fillId="0" borderId="1" xfId="0" applyNumberFormat="1" applyFont="1" applyBorder="1" applyAlignment="1">
      <alignment horizontal="center" vertical="center" wrapText="1"/>
    </xf>
    <xf numFmtId="0" fontId="101" fillId="0" borderId="0" xfId="0" applyFont="1" applyAlignment="1">
      <alignment vertical="top"/>
    </xf>
    <xf numFmtId="1" fontId="12" fillId="0" borderId="0" xfId="0" applyNumberFormat="1" applyFont="1" applyAlignment="1">
      <alignment horizontal="center" vertical="top" wrapText="1"/>
    </xf>
    <xf numFmtId="164" fontId="97" fillId="0" borderId="0" xfId="0" applyNumberFormat="1" applyFont="1" applyAlignment="1">
      <alignment vertical="top"/>
    </xf>
    <xf numFmtId="3" fontId="90" fillId="0" borderId="0" xfId="0" applyNumberFormat="1" applyFont="1" applyAlignment="1">
      <alignment vertical="top"/>
    </xf>
    <xf numFmtId="164" fontId="98" fillId="0" borderId="0" xfId="0" applyNumberFormat="1" applyFont="1" applyAlignment="1">
      <alignment vertical="top" wrapText="1"/>
    </xf>
    <xf numFmtId="0" fontId="102" fillId="0" borderId="0" xfId="0" applyFont="1" applyAlignment="1">
      <alignment horizontal="left" vertical="top" wrapText="1"/>
    </xf>
    <xf numFmtId="1" fontId="29" fillId="0" borderId="0" xfId="0" applyNumberFormat="1" applyFont="1" applyAlignment="1">
      <alignment horizontal="left" vertical="top" wrapText="1"/>
    </xf>
    <xf numFmtId="2" fontId="90" fillId="0" borderId="0" xfId="0" applyNumberFormat="1" applyFont="1" applyAlignment="1">
      <alignment vertical="top"/>
    </xf>
    <xf numFmtId="1" fontId="29" fillId="0" borderId="0" xfId="0" applyNumberFormat="1" applyFont="1" applyAlignment="1">
      <alignment horizontal="left" vertical="top"/>
    </xf>
    <xf numFmtId="164" fontId="98" fillId="0" borderId="0" xfId="0" applyNumberFormat="1" applyFont="1" applyAlignment="1">
      <alignment vertical="top"/>
    </xf>
    <xf numFmtId="164" fontId="94" fillId="0" borderId="0" xfId="0" applyNumberFormat="1" applyFont="1" applyAlignment="1">
      <alignment vertical="top"/>
    </xf>
    <xf numFmtId="164" fontId="8" fillId="0" borderId="0" xfId="0" applyNumberFormat="1" applyFont="1" applyAlignment="1">
      <alignment vertical="top"/>
    </xf>
    <xf numFmtId="0" fontId="103" fillId="0" borderId="0" xfId="0" applyFont="1" applyAlignment="1">
      <alignment horizontal="left" vertical="top" wrapText="1"/>
    </xf>
    <xf numFmtId="0" fontId="6" fillId="0" borderId="0" xfId="0" applyFont="1" applyAlignment="1">
      <alignment vertical="top" wrapText="1"/>
    </xf>
    <xf numFmtId="164" fontId="104" fillId="0" borderId="0" xfId="0" applyNumberFormat="1" applyFont="1" applyAlignment="1">
      <alignment vertical="top" wrapText="1"/>
    </xf>
    <xf numFmtId="0" fontId="95" fillId="0" borderId="0" xfId="0" applyFont="1" applyAlignment="1">
      <alignment vertical="top"/>
    </xf>
    <xf numFmtId="0" fontId="94" fillId="0" borderId="0" xfId="0" applyFont="1" applyAlignment="1">
      <alignment horizontal="center" vertical="top" wrapText="1"/>
    </xf>
    <xf numFmtId="0" fontId="94" fillId="0" borderId="0" xfId="0" applyFont="1" applyAlignment="1">
      <alignment horizontal="left" vertical="top" wrapText="1"/>
    </xf>
    <xf numFmtId="0" fontId="105" fillId="0" borderId="0" xfId="0" applyFont="1" applyAlignment="1">
      <alignment vertical="top" wrapText="1"/>
    </xf>
    <xf numFmtId="164" fontId="90" fillId="0" borderId="0" xfId="0" applyNumberFormat="1" applyFont="1" applyAlignment="1">
      <alignment vertical="top"/>
    </xf>
    <xf numFmtId="164" fontId="8" fillId="0" borderId="0" xfId="0" applyNumberFormat="1" applyFont="1" applyAlignment="1">
      <alignment horizontal="right" vertical="top"/>
    </xf>
    <xf numFmtId="164" fontId="8" fillId="0" borderId="0" xfId="0" applyNumberFormat="1" applyFont="1" applyAlignment="1">
      <alignment horizontal="right" vertical="top" wrapText="1"/>
    </xf>
    <xf numFmtId="0" fontId="101" fillId="0" borderId="0" xfId="0" applyFont="1" applyAlignment="1">
      <alignment vertical="top" wrapText="1"/>
    </xf>
    <xf numFmtId="0" fontId="106" fillId="0" borderId="0" xfId="0" applyFont="1" applyAlignment="1">
      <alignment horizontal="left" vertical="top" wrapText="1"/>
    </xf>
    <xf numFmtId="0" fontId="107" fillId="0" borderId="0" xfId="0" applyFont="1" applyAlignment="1">
      <alignment horizontal="left" wrapText="1"/>
    </xf>
    <xf numFmtId="0" fontId="31" fillId="0" borderId="0" xfId="0" applyFont="1" applyAlignment="1">
      <alignment vertical="top" wrapText="1"/>
    </xf>
    <xf numFmtId="0" fontId="108" fillId="0" borderId="0" xfId="0" applyFont="1" applyAlignment="1">
      <alignment horizontal="left" vertical="top"/>
    </xf>
    <xf numFmtId="0" fontId="106" fillId="0" borderId="0" xfId="0" applyFont="1" applyAlignment="1">
      <alignment horizontal="left" vertical="center" wrapText="1"/>
    </xf>
    <xf numFmtId="0" fontId="107" fillId="0" borderId="0" xfId="0" applyFont="1" applyAlignment="1">
      <alignment wrapText="1"/>
    </xf>
    <xf numFmtId="0" fontId="109" fillId="0" borderId="0" xfId="0" applyFont="1" applyAlignment="1">
      <alignment horizontal="left"/>
    </xf>
    <xf numFmtId="0" fontId="110" fillId="0" borderId="0" xfId="0" applyFont="1" applyAlignment="1">
      <alignment vertical="top"/>
    </xf>
    <xf numFmtId="0" fontId="107" fillId="0" borderId="0" xfId="0" applyFont="1"/>
    <xf numFmtId="0" fontId="107" fillId="0" borderId="0" xfId="0" applyFont="1" applyAlignment="1">
      <alignment horizontal="left"/>
    </xf>
    <xf numFmtId="1" fontId="108" fillId="0" borderId="0" xfId="0" applyNumberFormat="1" applyFont="1" applyAlignment="1">
      <alignment horizontal="left" vertical="top" wrapText="1"/>
    </xf>
    <xf numFmtId="4" fontId="93" fillId="0" borderId="0" xfId="0" applyNumberFormat="1" applyFont="1" applyAlignment="1">
      <alignment vertical="top"/>
    </xf>
    <xf numFmtId="0" fontId="111" fillId="0" borderId="0" xfId="0" applyFont="1" applyAlignment="1">
      <alignment horizontal="left" vertical="top"/>
    </xf>
    <xf numFmtId="0" fontId="112" fillId="0" borderId="0" xfId="0" applyFont="1" applyAlignment="1">
      <alignment horizontal="left" vertical="top"/>
    </xf>
    <xf numFmtId="0" fontId="112" fillId="2" borderId="0" xfId="0" applyFont="1" applyFill="1" applyAlignment="1">
      <alignment horizontal="left" vertical="top"/>
    </xf>
    <xf numFmtId="0" fontId="113" fillId="0" borderId="0" xfId="0" applyFont="1" applyAlignment="1">
      <alignment horizontal="left" vertical="top"/>
    </xf>
    <xf numFmtId="0" fontId="110" fillId="0" borderId="0" xfId="0" applyFont="1" applyAlignment="1">
      <alignment vertical="top" wrapText="1"/>
    </xf>
    <xf numFmtId="164" fontId="114" fillId="0" borderId="0" xfId="0" applyNumberFormat="1" applyFont="1" applyAlignment="1">
      <alignment vertical="top"/>
    </xf>
    <xf numFmtId="3" fontId="110" fillId="0" borderId="0" xfId="0" applyNumberFormat="1" applyFont="1" applyAlignment="1" applyProtection="1">
      <alignment vertical="top"/>
      <protection locked="0"/>
    </xf>
    <xf numFmtId="4" fontId="115" fillId="0" borderId="0" xfId="0" applyNumberFormat="1" applyFont="1" applyAlignment="1">
      <alignment vertical="top"/>
    </xf>
    <xf numFmtId="0" fontId="115" fillId="0" borderId="0" xfId="0" applyFont="1" applyAlignment="1">
      <alignment horizontal="left" vertical="top"/>
    </xf>
    <xf numFmtId="3" fontId="110" fillId="0" borderId="0" xfId="0" applyNumberFormat="1" applyFont="1" applyAlignment="1">
      <alignment vertical="top"/>
    </xf>
    <xf numFmtId="4" fontId="3" fillId="0" borderId="0" xfId="0" applyNumberFormat="1" applyFont="1" applyAlignment="1">
      <alignment vertical="top"/>
    </xf>
    <xf numFmtId="0" fontId="116" fillId="0" borderId="0" xfId="0" applyFont="1" applyAlignment="1">
      <alignment wrapText="1"/>
    </xf>
    <xf numFmtId="1" fontId="93" fillId="0" borderId="0" xfId="0" applyNumberFormat="1" applyFont="1" applyAlignment="1">
      <alignment vertical="top"/>
    </xf>
    <xf numFmtId="3" fontId="100" fillId="0" borderId="0" xfId="0" applyNumberFormat="1" applyFont="1" applyAlignment="1">
      <alignment vertical="top"/>
    </xf>
    <xf numFmtId="164" fontId="104" fillId="0" borderId="0" xfId="0" applyNumberFormat="1" applyFont="1" applyAlignment="1">
      <alignment vertical="top"/>
    </xf>
    <xf numFmtId="3" fontId="101" fillId="0" borderId="0" xfId="0" applyNumberFormat="1" applyFont="1" applyAlignment="1" applyProtection="1">
      <alignment vertical="top"/>
      <protection locked="0"/>
    </xf>
    <xf numFmtId="0" fontId="117" fillId="0" borderId="0" xfId="0" applyFont="1" applyAlignment="1">
      <alignment horizontal="left" vertical="top" wrapText="1"/>
    </xf>
    <xf numFmtId="2" fontId="8" fillId="0" borderId="0" xfId="0" applyNumberFormat="1" applyFont="1" applyAlignment="1">
      <alignment horizontal="center" vertical="center" wrapText="1"/>
    </xf>
    <xf numFmtId="164" fontId="8" fillId="0" borderId="0" xfId="0" applyNumberFormat="1" applyFont="1" applyAlignment="1">
      <alignment horizontal="center" vertical="center" wrapText="1"/>
    </xf>
    <xf numFmtId="3" fontId="8" fillId="0" borderId="0" xfId="0" applyNumberFormat="1" applyFont="1" applyAlignment="1">
      <alignment horizontal="center" vertical="center" wrapText="1"/>
    </xf>
    <xf numFmtId="4" fontId="12" fillId="0" borderId="0" xfId="0" applyNumberFormat="1" applyFont="1"/>
    <xf numFmtId="0" fontId="8" fillId="0" borderId="0" xfId="0" applyFont="1" applyAlignment="1">
      <alignment horizontal="left" vertical="center" wrapText="1"/>
    </xf>
    <xf numFmtId="0" fontId="8" fillId="0" borderId="0" xfId="0" applyFont="1" applyAlignment="1">
      <alignment horizontal="left" vertical="top" wrapText="1"/>
    </xf>
    <xf numFmtId="0" fontId="118" fillId="0" borderId="0" xfId="0" applyFont="1" applyAlignment="1">
      <alignment horizontal="center" vertical="center" wrapText="1"/>
    </xf>
    <xf numFmtId="2" fontId="104" fillId="0" borderId="0" xfId="0" applyNumberFormat="1" applyFont="1" applyAlignment="1">
      <alignment horizontal="center" vertical="center" wrapText="1"/>
    </xf>
    <xf numFmtId="164" fontId="104" fillId="0" borderId="0" xfId="0" applyNumberFormat="1" applyFont="1" applyAlignment="1">
      <alignment horizontal="center" vertical="center" wrapText="1"/>
    </xf>
    <xf numFmtId="3" fontId="104" fillId="0" borderId="0" xfId="0" applyNumberFormat="1" applyFont="1" applyAlignment="1">
      <alignment horizontal="center" vertical="center" wrapText="1"/>
    </xf>
    <xf numFmtId="4" fontId="119" fillId="0" borderId="0" xfId="0" applyNumberFormat="1" applyFont="1"/>
    <xf numFmtId="0" fontId="21" fillId="0" borderId="0" xfId="0" applyFont="1" applyAlignment="1">
      <alignment horizontal="left" vertical="top" wrapText="1"/>
    </xf>
    <xf numFmtId="0" fontId="91" fillId="0" borderId="0" xfId="0" applyFont="1" applyAlignment="1">
      <alignment horizontal="left" vertical="top" wrapText="1"/>
    </xf>
    <xf numFmtId="0" fontId="114" fillId="0" borderId="0" xfId="0" applyFont="1" applyAlignment="1">
      <alignment horizontal="left" vertical="top" wrapText="1"/>
    </xf>
    <xf numFmtId="0" fontId="120" fillId="0" borderId="0" xfId="0" applyFont="1" applyAlignment="1">
      <alignment horizontal="center" vertical="center" wrapText="1"/>
    </xf>
    <xf numFmtId="2" fontId="114" fillId="0" borderId="0" xfId="0" applyNumberFormat="1" applyFont="1" applyAlignment="1">
      <alignment horizontal="center" vertical="center" wrapText="1"/>
    </xf>
    <xf numFmtId="164" fontId="114" fillId="0" borderId="0" xfId="0" applyNumberFormat="1" applyFont="1" applyAlignment="1">
      <alignment horizontal="center" vertical="center" wrapText="1"/>
    </xf>
    <xf numFmtId="3" fontId="114" fillId="0" borderId="0" xfId="0" applyNumberFormat="1" applyFont="1" applyAlignment="1">
      <alignment horizontal="center" vertical="center" wrapText="1"/>
    </xf>
    <xf numFmtId="4" fontId="115" fillId="0" borderId="0" xfId="0" applyNumberFormat="1" applyFont="1"/>
    <xf numFmtId="0" fontId="3" fillId="0" borderId="0" xfId="0" applyFont="1" applyAlignment="1">
      <alignment horizontal="center" vertical="center" wrapText="1"/>
    </xf>
    <xf numFmtId="0" fontId="104" fillId="0" borderId="0" xfId="0" applyFont="1" applyAlignment="1">
      <alignment horizontal="left" vertical="top" wrapText="1"/>
    </xf>
    <xf numFmtId="0" fontId="100" fillId="0" borderId="0" xfId="0" applyFont="1" applyAlignment="1">
      <alignment horizontal="left" vertical="top" wrapText="1"/>
    </xf>
    <xf numFmtId="0" fontId="98" fillId="0" borderId="0" xfId="0" applyFont="1" applyAlignment="1">
      <alignment horizontal="left" vertical="top" wrapText="1"/>
    </xf>
    <xf numFmtId="2" fontId="121" fillId="0" borderId="0" xfId="0" applyNumberFormat="1" applyFont="1" applyAlignment="1">
      <alignment horizontal="center" vertical="center" wrapText="1"/>
    </xf>
    <xf numFmtId="165" fontId="18" fillId="0" borderId="0" xfId="0" applyNumberFormat="1" applyFont="1" applyAlignment="1">
      <alignment horizontal="center" vertical="center" wrapText="1"/>
    </xf>
    <xf numFmtId="166" fontId="8" fillId="0" borderId="0" xfId="0" applyNumberFormat="1" applyFont="1" applyAlignment="1">
      <alignment horizontal="center" vertical="center" wrapText="1"/>
    </xf>
    <xf numFmtId="0" fontId="122" fillId="0" borderId="0" xfId="0" applyFont="1" applyAlignment="1">
      <alignment vertical="top"/>
    </xf>
    <xf numFmtId="0" fontId="0" fillId="0" borderId="0" xfId="0" applyAlignment="1">
      <alignment vertical="top" wrapText="1"/>
    </xf>
    <xf numFmtId="166" fontId="104" fillId="0" borderId="0" xfId="0" applyNumberFormat="1" applyFont="1" applyAlignment="1">
      <alignment horizontal="center" vertical="center" wrapText="1"/>
    </xf>
    <xf numFmtId="2" fontId="21" fillId="0" borderId="0" xfId="0" applyNumberFormat="1" applyFont="1" applyAlignment="1">
      <alignment horizontal="center" vertical="center" wrapText="1"/>
    </xf>
    <xf numFmtId="0" fontId="8" fillId="0" borderId="0" xfId="0" applyFont="1" applyAlignment="1">
      <alignment horizontal="left" wrapText="1"/>
    </xf>
    <xf numFmtId="0" fontId="104" fillId="0" borderId="0" xfId="0" applyFont="1" applyAlignment="1">
      <alignment horizontal="left" vertical="center" wrapText="1"/>
    </xf>
    <xf numFmtId="0" fontId="8" fillId="0" borderId="0" xfId="0" applyFont="1" applyAlignment="1">
      <alignment horizontal="center" wrapText="1"/>
    </xf>
    <xf numFmtId="0" fontId="41" fillId="0" borderId="0" xfId="0" applyFont="1" applyAlignment="1">
      <alignment horizontal="left" vertical="top" wrapText="1"/>
    </xf>
    <xf numFmtId="0" fontId="21" fillId="0" borderId="0" xfId="0" applyFont="1" applyAlignment="1">
      <alignment horizontal="left" vertical="center" wrapText="1"/>
    </xf>
    <xf numFmtId="0" fontId="94" fillId="0" borderId="0" xfId="0" applyFont="1"/>
    <xf numFmtId="0" fontId="12" fillId="0" borderId="1" xfId="0" applyFont="1" applyBorder="1" applyAlignment="1">
      <alignment horizontal="center" vertical="center" wrapText="1"/>
    </xf>
    <xf numFmtId="0" fontId="102" fillId="0" borderId="0" xfId="0" applyFont="1" applyAlignment="1">
      <alignment horizontal="left" vertical="top"/>
    </xf>
    <xf numFmtId="49" fontId="12" fillId="0" borderId="0" xfId="0" applyNumberFormat="1" applyFont="1" applyAlignment="1">
      <alignment horizontal="center" vertical="center" wrapText="1"/>
    </xf>
    <xf numFmtId="49" fontId="119" fillId="0" borderId="0" xfId="0" applyNumberFormat="1" applyFont="1" applyAlignment="1">
      <alignment horizontal="center" vertical="center" wrapText="1"/>
    </xf>
    <xf numFmtId="49" fontId="115" fillId="0" borderId="0" xfId="0" applyNumberFormat="1" applyFont="1" applyAlignment="1">
      <alignment horizontal="center" vertical="center" wrapText="1"/>
    </xf>
    <xf numFmtId="0" fontId="8" fillId="0" borderId="0" xfId="0" applyFont="1" applyAlignment="1">
      <alignment horizontal="center" vertical="center" wrapText="1"/>
    </xf>
    <xf numFmtId="0" fontId="38" fillId="0" borderId="0" xfId="0" applyFont="1" applyAlignment="1">
      <alignment horizontal="left" vertical="top" wrapText="1"/>
    </xf>
    <xf numFmtId="0" fontId="117" fillId="0" borderId="0" xfId="0" applyFont="1" applyAlignment="1">
      <alignment horizontal="left" vertical="center" wrapText="1"/>
    </xf>
    <xf numFmtId="3" fontId="21" fillId="0" borderId="0" xfId="0" applyNumberFormat="1" applyFont="1" applyAlignment="1">
      <alignment horizontal="center" vertical="center" wrapText="1"/>
    </xf>
    <xf numFmtId="4" fontId="29" fillId="0" borderId="0" xfId="0" applyNumberFormat="1" applyFont="1"/>
    <xf numFmtId="0" fontId="123" fillId="0" borderId="0" xfId="0" applyFont="1" applyAlignment="1">
      <alignment horizontal="center" vertical="center" wrapText="1"/>
    </xf>
    <xf numFmtId="166" fontId="100" fillId="0" borderId="0" xfId="0" applyNumberFormat="1" applyFont="1" applyAlignment="1">
      <alignment horizontal="center" vertical="center" wrapText="1"/>
    </xf>
    <xf numFmtId="164" fontId="100" fillId="0" borderId="0" xfId="0" applyNumberFormat="1" applyFont="1" applyAlignment="1">
      <alignment horizontal="center" vertical="center" wrapText="1"/>
    </xf>
    <xf numFmtId="3" fontId="100" fillId="0" borderId="0" xfId="0" applyNumberFormat="1" applyFont="1" applyAlignment="1">
      <alignment horizontal="center" vertical="center" wrapText="1"/>
    </xf>
    <xf numFmtId="0" fontId="93" fillId="0" borderId="0" xfId="0" applyFont="1" applyAlignment="1">
      <alignment horizontal="left" vertical="top" wrapText="1"/>
    </xf>
    <xf numFmtId="0" fontId="109" fillId="0" borderId="0" xfId="0" applyFont="1" applyAlignment="1">
      <alignment horizontal="left" vertical="top" wrapText="1"/>
    </xf>
    <xf numFmtId="0" fontId="92" fillId="0" borderId="0" xfId="0" applyFont="1" applyAlignment="1">
      <alignment horizontal="left" vertical="top" wrapText="1"/>
    </xf>
    <xf numFmtId="4" fontId="119" fillId="0" borderId="0" xfId="0" applyNumberFormat="1" applyFont="1" applyAlignment="1">
      <alignment wrapText="1"/>
    </xf>
    <xf numFmtId="0" fontId="124" fillId="0" borderId="0" xfId="0" applyFont="1" applyAlignment="1">
      <alignment horizontal="left" vertical="top" wrapText="1"/>
    </xf>
    <xf numFmtId="4" fontId="95" fillId="0" borderId="0" xfId="0" applyNumberFormat="1" applyFont="1"/>
    <xf numFmtId="0" fontId="125" fillId="0" borderId="0" xfId="0" applyFont="1" applyAlignment="1">
      <alignment horizontal="center" vertical="center" wrapText="1"/>
    </xf>
    <xf numFmtId="2" fontId="98" fillId="0" borderId="0" xfId="0" applyNumberFormat="1" applyFont="1" applyAlignment="1">
      <alignment horizontal="center" vertical="center" wrapText="1"/>
    </xf>
    <xf numFmtId="164" fontId="98" fillId="0" borderId="0" xfId="0" applyNumberFormat="1" applyFont="1" applyAlignment="1">
      <alignment horizontal="center" vertical="center" wrapText="1"/>
    </xf>
    <xf numFmtId="3" fontId="98" fillId="0" borderId="0" xfId="0" applyNumberFormat="1" applyFont="1" applyAlignment="1">
      <alignment horizontal="center" vertical="center" wrapText="1"/>
    </xf>
    <xf numFmtId="0" fontId="126" fillId="0" borderId="0" xfId="0" applyFont="1" applyAlignment="1">
      <alignment horizontal="center" vertical="center" wrapText="1"/>
    </xf>
    <xf numFmtId="2" fontId="117" fillId="0" borderId="0" xfId="0" applyNumberFormat="1" applyFont="1" applyAlignment="1">
      <alignment horizontal="center" vertical="center" wrapText="1"/>
    </xf>
    <xf numFmtId="164" fontId="117" fillId="0" borderId="0" xfId="0" applyNumberFormat="1" applyFont="1" applyAlignment="1">
      <alignment horizontal="center" vertical="center" wrapText="1"/>
    </xf>
    <xf numFmtId="3" fontId="117" fillId="0" borderId="0" xfId="0" applyNumberFormat="1" applyFont="1" applyAlignment="1">
      <alignment horizontal="center" vertical="center" wrapText="1"/>
    </xf>
    <xf numFmtId="2" fontId="8" fillId="0" borderId="0" xfId="0" applyNumberFormat="1" applyFont="1" applyAlignment="1">
      <alignment horizontal="left" vertical="center" wrapText="1"/>
    </xf>
    <xf numFmtId="167" fontId="104" fillId="0" borderId="0" xfId="0" applyNumberFormat="1" applyFont="1" applyAlignment="1">
      <alignment horizontal="center" vertical="center" wrapText="1"/>
    </xf>
    <xf numFmtId="167" fontId="8" fillId="0" borderId="0" xfId="0" applyNumberFormat="1" applyFont="1" applyAlignment="1">
      <alignment horizontal="center" vertical="center" wrapText="1"/>
    </xf>
    <xf numFmtId="0" fontId="21" fillId="0" borderId="0" xfId="0" applyFont="1" applyAlignment="1">
      <alignment horizontal="center" vertical="top" wrapText="1"/>
    </xf>
    <xf numFmtId="168" fontId="104" fillId="0" borderId="0" xfId="0" applyNumberFormat="1" applyFont="1" applyAlignment="1">
      <alignment horizontal="center" vertical="center" wrapText="1"/>
    </xf>
    <xf numFmtId="0" fontId="101" fillId="0" borderId="0" xfId="0" applyFont="1" applyAlignment="1">
      <alignment horizontal="center" vertical="center" wrapText="1"/>
    </xf>
    <xf numFmtId="164" fontId="18" fillId="0" borderId="0" xfId="0" applyNumberFormat="1" applyFont="1" applyAlignment="1">
      <alignment horizontal="center" vertical="center" wrapText="1"/>
    </xf>
    <xf numFmtId="4" fontId="12" fillId="0" borderId="0" xfId="0" applyNumberFormat="1" applyFont="1" applyAlignment="1">
      <alignment horizontal="right" wrapText="1"/>
    </xf>
    <xf numFmtId="0" fontId="127" fillId="0" borderId="0" xfId="0" applyFont="1" applyAlignment="1">
      <alignment wrapText="1"/>
    </xf>
    <xf numFmtId="2" fontId="8" fillId="0" borderId="0" xfId="0" applyNumberFormat="1" applyFont="1" applyAlignment="1">
      <alignment vertical="center" wrapText="1"/>
    </xf>
    <xf numFmtId="0" fontId="128" fillId="0" borderId="0" xfId="0" applyFont="1"/>
    <xf numFmtId="0" fontId="129" fillId="0" borderId="0" xfId="0" applyFont="1" applyAlignment="1">
      <alignment wrapText="1"/>
    </xf>
    <xf numFmtId="0" fontId="21" fillId="0" borderId="0" xfId="0" applyFont="1" applyAlignment="1">
      <alignment wrapText="1"/>
    </xf>
    <xf numFmtId="0" fontId="18" fillId="0" borderId="0" xfId="0" applyFont="1" applyAlignment="1">
      <alignment vertical="top"/>
    </xf>
    <xf numFmtId="2" fontId="8" fillId="0" borderId="0" xfId="0" applyNumberFormat="1" applyFont="1" applyAlignment="1">
      <alignment vertical="top"/>
    </xf>
    <xf numFmtId="3" fontId="8" fillId="0" borderId="0" xfId="0" applyNumberFormat="1" applyFont="1" applyAlignment="1">
      <alignment horizontal="right" vertical="top"/>
    </xf>
    <xf numFmtId="0" fontId="8" fillId="0" borderId="0" xfId="0" applyFont="1" applyAlignment="1">
      <alignment wrapText="1"/>
    </xf>
    <xf numFmtId="0" fontId="130" fillId="0" borderId="0" xfId="0" applyFont="1" applyAlignment="1">
      <alignment vertical="top"/>
    </xf>
    <xf numFmtId="167" fontId="102" fillId="0" borderId="0" xfId="0" applyNumberFormat="1" applyFont="1"/>
    <xf numFmtId="0" fontId="103" fillId="0" borderId="0" xfId="0" applyFont="1" applyAlignment="1">
      <alignment horizontal="left" vertical="top"/>
    </xf>
    <xf numFmtId="0" fontId="131" fillId="0" borderId="0" xfId="0" applyFont="1"/>
    <xf numFmtId="0" fontId="14" fillId="0" borderId="0" xfId="0" applyFont="1" applyAlignment="1">
      <alignment wrapText="1"/>
    </xf>
    <xf numFmtId="0" fontId="132" fillId="0" borderId="0" xfId="0" applyFont="1"/>
    <xf numFmtId="0" fontId="119" fillId="0" borderId="0" xfId="0" applyFont="1" applyAlignment="1">
      <alignment horizontal="left" vertical="top" wrapText="1"/>
    </xf>
    <xf numFmtId="164" fontId="118" fillId="0" borderId="0" xfId="0" applyNumberFormat="1" applyFont="1" applyAlignment="1">
      <alignment horizontal="center" vertical="center" wrapText="1"/>
    </xf>
    <xf numFmtId="164" fontId="20"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49" fontId="97" fillId="0" borderId="0" xfId="0" applyNumberFormat="1" applyFont="1" applyAlignment="1">
      <alignment horizontal="center" vertical="center" wrapText="1"/>
    </xf>
    <xf numFmtId="0" fontId="97" fillId="0" borderId="0" xfId="0" applyFont="1" applyAlignment="1">
      <alignment horizontal="center" vertical="center" wrapText="1"/>
    </xf>
    <xf numFmtId="2" fontId="97" fillId="0" borderId="0" xfId="0" applyNumberFormat="1" applyFont="1" applyAlignment="1">
      <alignment horizontal="center" vertical="center" wrapText="1"/>
    </xf>
    <xf numFmtId="164" fontId="97" fillId="0" borderId="0" xfId="0" applyNumberFormat="1" applyFont="1" applyAlignment="1">
      <alignment horizontal="center" vertical="center" wrapText="1"/>
    </xf>
    <xf numFmtId="3" fontId="97" fillId="0" borderId="0" xfId="0" applyNumberFormat="1" applyFont="1" applyAlignment="1">
      <alignment horizontal="center" vertical="center" wrapText="1"/>
    </xf>
    <xf numFmtId="49" fontId="104" fillId="0" borderId="0" xfId="0" applyNumberFormat="1" applyFont="1" applyAlignment="1">
      <alignment horizontal="center" vertical="center" wrapText="1"/>
    </xf>
    <xf numFmtId="0" fontId="104" fillId="0" borderId="0" xfId="0" applyFont="1" applyAlignment="1">
      <alignment horizontal="center" vertical="center" wrapText="1"/>
    </xf>
    <xf numFmtId="0" fontId="24" fillId="0" borderId="0" xfId="0" applyFont="1" applyAlignment="1">
      <alignment horizontal="left" vertical="top" wrapText="1"/>
    </xf>
    <xf numFmtId="4" fontId="119" fillId="0" borderId="0" xfId="0" applyNumberFormat="1" applyFont="1" applyAlignment="1">
      <alignment horizontal="right"/>
    </xf>
    <xf numFmtId="49" fontId="8" fillId="2" borderId="0" xfId="0" applyNumberFormat="1" applyFont="1" applyFill="1" applyAlignment="1">
      <alignment horizontal="center" vertical="center" wrapText="1"/>
    </xf>
    <xf numFmtId="0" fontId="18" fillId="0" borderId="0" xfId="0" applyFont="1" applyAlignment="1">
      <alignment horizontal="center" vertical="top" wrapText="1"/>
    </xf>
    <xf numFmtId="2" fontId="8" fillId="0" borderId="0" xfId="0" applyNumberFormat="1" applyFont="1" applyAlignment="1">
      <alignment horizontal="center" vertical="top" wrapText="1"/>
    </xf>
    <xf numFmtId="164" fontId="8" fillId="0" borderId="0" xfId="0" applyNumberFormat="1" applyFont="1" applyAlignment="1">
      <alignment horizontal="center" vertical="top" wrapText="1"/>
    </xf>
    <xf numFmtId="3" fontId="8" fillId="0" borderId="0" xfId="0" applyNumberFormat="1" applyFont="1" applyAlignment="1">
      <alignment horizontal="center" vertical="top" wrapText="1"/>
    </xf>
    <xf numFmtId="0" fontId="18" fillId="0" borderId="0" xfId="0" applyFont="1" applyAlignment="1">
      <alignment horizontal="left" vertical="center" wrapText="1"/>
    </xf>
    <xf numFmtId="165" fontId="8" fillId="0" borderId="0" xfId="0" applyNumberFormat="1" applyFont="1" applyAlignment="1">
      <alignment horizontal="center" vertical="top" wrapText="1"/>
    </xf>
    <xf numFmtId="4" fontId="8" fillId="0" borderId="0" xfId="0" applyNumberFormat="1" applyFont="1"/>
    <xf numFmtId="2" fontId="20" fillId="0" borderId="0" xfId="0" applyNumberFormat="1" applyFont="1" applyAlignment="1">
      <alignment horizontal="center" vertical="center" wrapText="1"/>
    </xf>
    <xf numFmtId="2" fontId="18" fillId="0" borderId="0" xfId="0" applyNumberFormat="1" applyFont="1" applyAlignment="1">
      <alignment horizontal="left" vertical="center" wrapText="1"/>
    </xf>
    <xf numFmtId="2" fontId="18" fillId="0" borderId="0" xfId="0" applyNumberFormat="1" applyFont="1" applyAlignment="1">
      <alignment horizontal="left" vertical="center"/>
    </xf>
    <xf numFmtId="49" fontId="8" fillId="0" borderId="0" xfId="0" applyNumberFormat="1" applyFont="1" applyAlignment="1">
      <alignment horizontal="center" vertical="center"/>
    </xf>
    <xf numFmtId="0" fontId="8" fillId="0" borderId="0" xfId="0" applyFont="1" applyAlignment="1">
      <alignment horizontal="left" vertical="center"/>
    </xf>
    <xf numFmtId="0" fontId="18" fillId="0" borderId="0" xfId="0" applyFont="1" applyAlignment="1">
      <alignment horizontal="center" vertical="center"/>
    </xf>
    <xf numFmtId="164" fontId="8" fillId="0" borderId="0" xfId="0" applyNumberFormat="1" applyFont="1" applyAlignment="1">
      <alignment horizontal="center" vertical="center"/>
    </xf>
    <xf numFmtId="3" fontId="8" fillId="0" borderId="0" xfId="0" applyNumberFormat="1" applyFont="1" applyAlignment="1">
      <alignment horizontal="center" vertical="center"/>
    </xf>
    <xf numFmtId="2" fontId="20" fillId="0" borderId="0" xfId="0" applyNumberFormat="1" applyFont="1" applyAlignment="1">
      <alignment horizontal="left" vertical="center"/>
    </xf>
    <xf numFmtId="49" fontId="12" fillId="0" borderId="0" xfId="0" applyNumberFormat="1" applyFont="1" applyAlignment="1">
      <alignment horizontal="center" vertical="top" wrapText="1"/>
    </xf>
    <xf numFmtId="2" fontId="18" fillId="2" borderId="0" xfId="0" applyNumberFormat="1" applyFont="1" applyFill="1" applyAlignment="1">
      <alignment horizontal="left" vertical="center"/>
    </xf>
    <xf numFmtId="0" fontId="98" fillId="0" borderId="0" xfId="0" applyFont="1" applyAlignment="1">
      <alignment horizontal="left" vertical="center" wrapText="1"/>
    </xf>
    <xf numFmtId="0" fontId="98" fillId="0" borderId="0" xfId="0" applyFont="1" applyAlignment="1">
      <alignment horizontal="center" vertical="center" wrapText="1"/>
    </xf>
    <xf numFmtId="49" fontId="8" fillId="0" borderId="0" xfId="0" applyNumberFormat="1" applyFont="1" applyAlignment="1">
      <alignment horizontal="left" vertical="center" wrapText="1"/>
    </xf>
    <xf numFmtId="0" fontId="114" fillId="0" borderId="0" xfId="0" applyFont="1" applyAlignment="1">
      <alignment horizontal="left" vertical="center" wrapText="1"/>
    </xf>
    <xf numFmtId="0" fontId="120" fillId="0" borderId="0" xfId="0" applyFont="1" applyAlignment="1">
      <alignment horizontal="center" vertical="top" wrapText="1"/>
    </xf>
    <xf numFmtId="2" fontId="114" fillId="0" borderId="0" xfId="0" applyNumberFormat="1" applyFont="1" applyAlignment="1">
      <alignment horizontal="center" vertical="top" wrapText="1"/>
    </xf>
    <xf numFmtId="164" fontId="114" fillId="0" borderId="0" xfId="0" applyNumberFormat="1" applyFont="1" applyAlignment="1">
      <alignment horizontal="center" vertical="top" wrapText="1"/>
    </xf>
    <xf numFmtId="3" fontId="114" fillId="0" borderId="0" xfId="0" applyNumberFormat="1" applyFont="1" applyAlignment="1">
      <alignment horizontal="center" vertical="top" wrapText="1"/>
    </xf>
    <xf numFmtId="0" fontId="133" fillId="0" borderId="0" xfId="0" applyFont="1" applyAlignment="1">
      <alignment horizontal="left" vertical="center" wrapText="1"/>
    </xf>
    <xf numFmtId="2" fontId="133" fillId="0" borderId="0" xfId="0" applyNumberFormat="1" applyFont="1" applyAlignment="1">
      <alignment horizontal="left" vertical="center" wrapText="1"/>
    </xf>
    <xf numFmtId="164" fontId="133" fillId="0" borderId="0" xfId="0" applyNumberFormat="1" applyFont="1" applyAlignment="1">
      <alignment horizontal="center" vertical="center" wrapText="1"/>
    </xf>
    <xf numFmtId="3" fontId="133" fillId="0" borderId="0" xfId="0" applyNumberFormat="1" applyFont="1" applyAlignment="1">
      <alignment horizontal="center" vertical="top" wrapText="1"/>
    </xf>
    <xf numFmtId="4" fontId="134" fillId="0" borderId="0" xfId="0" applyNumberFormat="1" applyFont="1" applyAlignment="1">
      <alignment vertical="top"/>
    </xf>
    <xf numFmtId="164" fontId="8" fillId="0" borderId="0" xfId="0" applyNumberFormat="1" applyFont="1" applyAlignment="1">
      <alignment horizontal="left" vertical="center" wrapText="1"/>
    </xf>
    <xf numFmtId="3" fontId="8" fillId="0" borderId="0" xfId="0" applyNumberFormat="1" applyFont="1" applyAlignment="1">
      <alignment horizontal="left" vertical="center" wrapText="1"/>
    </xf>
    <xf numFmtId="4" fontId="12" fillId="0" borderId="0" xfId="0" applyNumberFormat="1" applyFont="1" applyAlignment="1">
      <alignment horizontal="left"/>
    </xf>
    <xf numFmtId="2" fontId="21" fillId="0" borderId="0" xfId="0" applyNumberFormat="1" applyFont="1" applyAlignment="1">
      <alignment horizontal="left" vertical="center" wrapText="1"/>
    </xf>
    <xf numFmtId="0" fontId="8" fillId="0" borderId="0" xfId="0" applyFont="1" applyAlignment="1">
      <alignment horizontal="left"/>
    </xf>
    <xf numFmtId="0" fontId="104" fillId="0" borderId="0" xfId="0" applyFont="1" applyAlignment="1">
      <alignment horizontal="center" vertical="top" wrapText="1"/>
    </xf>
    <xf numFmtId="2" fontId="104" fillId="0" borderId="0" xfId="0" applyNumberFormat="1" applyFont="1" applyAlignment="1">
      <alignment horizontal="center" vertical="top" wrapText="1"/>
    </xf>
    <xf numFmtId="164" fontId="104" fillId="0" borderId="0" xfId="0" applyNumberFormat="1" applyFont="1" applyAlignment="1">
      <alignment horizontal="center" vertical="top" wrapText="1"/>
    </xf>
    <xf numFmtId="3" fontId="104" fillId="0" borderId="0" xfId="0" applyNumberFormat="1" applyFont="1" applyAlignment="1">
      <alignment horizontal="center" vertical="top" wrapText="1"/>
    </xf>
    <xf numFmtId="4" fontId="115" fillId="0" borderId="0" xfId="0" applyNumberFormat="1" applyFont="1" applyAlignment="1">
      <alignment horizontal="right"/>
    </xf>
    <xf numFmtId="0" fontId="125" fillId="0" borderId="0" xfId="0" applyFont="1" applyAlignment="1">
      <alignment horizontal="left" vertical="center" wrapText="1"/>
    </xf>
    <xf numFmtId="0" fontId="10" fillId="0" borderId="0" xfId="0" applyFont="1" applyAlignment="1">
      <alignment horizontal="left" vertical="center" wrapText="1"/>
    </xf>
    <xf numFmtId="0" fontId="12" fillId="0" borderId="0" xfId="0" applyFont="1" applyAlignment="1">
      <alignment horizontal="center" vertical="center" wrapText="1"/>
    </xf>
    <xf numFmtId="0" fontId="99" fillId="0" borderId="0" xfId="0" applyFont="1" applyAlignment="1">
      <alignment horizontal="center" vertical="center" wrapText="1"/>
    </xf>
    <xf numFmtId="165" fontId="8" fillId="0" borderId="0" xfId="0" applyNumberFormat="1" applyFont="1" applyAlignment="1">
      <alignment vertical="top" wrapText="1"/>
    </xf>
    <xf numFmtId="0" fontId="97" fillId="0" borderId="0" xfId="0" applyFont="1" applyAlignment="1">
      <alignment vertical="top" wrapText="1"/>
    </xf>
    <xf numFmtId="0" fontId="91" fillId="0" borderId="0" xfId="0" applyFont="1" applyAlignment="1">
      <alignment horizontal="center" vertical="center"/>
    </xf>
    <xf numFmtId="49" fontId="8" fillId="0" borderId="0" xfId="0" applyNumberFormat="1" applyFont="1" applyAlignment="1">
      <alignment horizontal="center" vertical="top" wrapText="1"/>
    </xf>
    <xf numFmtId="49" fontId="8" fillId="3" borderId="0" xfId="0" applyNumberFormat="1" applyFont="1" applyFill="1" applyAlignment="1">
      <alignment horizontal="center" vertical="top" wrapText="1"/>
    </xf>
    <xf numFmtId="49" fontId="12" fillId="0" borderId="0" xfId="0" applyNumberFormat="1" applyFont="1" applyAlignment="1">
      <alignment vertical="top" wrapText="1"/>
    </xf>
    <xf numFmtId="0" fontId="98" fillId="0" borderId="0" xfId="0" applyFont="1" applyAlignment="1">
      <alignment vertical="top" wrapText="1"/>
    </xf>
    <xf numFmtId="2" fontId="104" fillId="0" borderId="0" xfId="0" applyNumberFormat="1" applyFont="1" applyAlignment="1">
      <alignment vertical="top" wrapText="1"/>
    </xf>
    <xf numFmtId="0" fontId="104" fillId="0" borderId="0" xfId="0" applyFont="1" applyAlignment="1">
      <alignment vertical="top" wrapText="1"/>
    </xf>
    <xf numFmtId="49" fontId="114" fillId="0" borderId="0" xfId="0" applyNumberFormat="1" applyFont="1" applyAlignment="1">
      <alignment horizontal="center" vertical="top" wrapText="1"/>
    </xf>
    <xf numFmtId="0" fontId="114" fillId="0" borderId="0" xfId="0" applyFont="1" applyAlignment="1">
      <alignment vertical="top" wrapText="1"/>
    </xf>
    <xf numFmtId="0" fontId="89" fillId="0" borderId="0" xfId="0" applyFont="1" applyAlignment="1">
      <alignment vertical="top" wrapText="1"/>
    </xf>
    <xf numFmtId="165" fontId="104" fillId="0" borderId="0" xfId="0" applyNumberFormat="1" applyFont="1" applyAlignment="1">
      <alignment vertical="top" wrapText="1"/>
    </xf>
    <xf numFmtId="49" fontId="12" fillId="0" borderId="0" xfId="0" applyNumberFormat="1" applyFont="1" applyAlignment="1">
      <alignment vertical="center" wrapText="1"/>
    </xf>
    <xf numFmtId="0" fontId="104" fillId="0" borderId="0" xfId="0" applyFont="1" applyAlignment="1">
      <alignment wrapText="1"/>
    </xf>
    <xf numFmtId="0" fontId="97" fillId="2" borderId="0" xfId="0" applyFont="1" applyFill="1" applyAlignment="1">
      <alignment vertical="top" wrapText="1"/>
    </xf>
    <xf numFmtId="0" fontId="135" fillId="0" borderId="0" xfId="0" applyFont="1" applyAlignment="1">
      <alignment vertical="top" wrapText="1"/>
    </xf>
    <xf numFmtId="49" fontId="119" fillId="0" borderId="0" xfId="0" applyNumberFormat="1" applyFont="1" applyAlignment="1">
      <alignment horizontal="center" vertical="top" wrapText="1"/>
    </xf>
    <xf numFmtId="2" fontId="97" fillId="0" borderId="0" xfId="0" applyNumberFormat="1" applyFont="1" applyAlignment="1">
      <alignment vertical="top" wrapText="1"/>
    </xf>
    <xf numFmtId="0" fontId="14" fillId="2" borderId="0" xfId="0" applyFont="1" applyFill="1" applyAlignment="1">
      <alignment wrapText="1"/>
    </xf>
    <xf numFmtId="0" fontId="97" fillId="2" borderId="0" xfId="0" applyFont="1" applyFill="1" applyAlignment="1">
      <alignment wrapText="1"/>
    </xf>
    <xf numFmtId="0" fontId="135" fillId="0" borderId="0" xfId="0" applyFont="1" applyAlignment="1">
      <alignment wrapText="1"/>
    </xf>
    <xf numFmtId="2" fontId="8" fillId="0" borderId="0" xfId="0" applyNumberFormat="1" applyFont="1" applyAlignment="1">
      <alignment vertical="top" wrapText="1"/>
    </xf>
    <xf numFmtId="164" fontId="8" fillId="0" borderId="0" xfId="0" applyNumberFormat="1" applyFont="1" applyAlignment="1">
      <alignment horizontal="center" vertical="top"/>
    </xf>
    <xf numFmtId="49" fontId="95" fillId="0" borderId="0" xfId="0" applyNumberFormat="1" applyFont="1" applyAlignment="1">
      <alignment horizontal="center" vertical="top" wrapText="1"/>
    </xf>
    <xf numFmtId="0" fontId="125" fillId="0" borderId="0" xfId="0" applyFont="1" applyAlignment="1">
      <alignment wrapText="1"/>
    </xf>
    <xf numFmtId="2" fontId="98" fillId="0" borderId="0" xfId="0" applyNumberFormat="1" applyFont="1" applyAlignment="1">
      <alignment vertical="top" wrapText="1"/>
    </xf>
    <xf numFmtId="3" fontId="98" fillId="0" borderId="0" xfId="0" applyNumberFormat="1" applyFont="1" applyAlignment="1">
      <alignment horizontal="center" vertical="top" wrapText="1"/>
    </xf>
    <xf numFmtId="165" fontId="8" fillId="0" borderId="0" xfId="0" applyNumberFormat="1" applyFont="1" applyAlignment="1">
      <alignment vertical="top"/>
    </xf>
    <xf numFmtId="49" fontId="98" fillId="0" borderId="0" xfId="0" applyNumberFormat="1" applyFont="1" applyAlignment="1">
      <alignment horizontal="center" vertical="center" wrapText="1"/>
    </xf>
    <xf numFmtId="164" fontId="98" fillId="0" borderId="0" xfId="0" applyNumberFormat="1" applyFont="1" applyAlignment="1">
      <alignment horizontal="center" vertical="center"/>
    </xf>
    <xf numFmtId="49" fontId="114" fillId="0" borderId="0" xfId="0" applyNumberFormat="1" applyFont="1" applyAlignment="1">
      <alignment horizontal="center" vertical="center" wrapText="1"/>
    </xf>
    <xf numFmtId="49" fontId="136" fillId="0" borderId="0" xfId="0" applyNumberFormat="1" applyFont="1" applyAlignment="1">
      <alignment horizontal="center" vertical="top" wrapText="1"/>
    </xf>
    <xf numFmtId="0" fontId="120" fillId="0" borderId="0" xfId="0" applyFont="1" applyAlignment="1">
      <alignment wrapText="1"/>
    </xf>
    <xf numFmtId="2" fontId="114" fillId="0" borderId="0" xfId="0" applyNumberFormat="1" applyFont="1" applyAlignment="1">
      <alignment vertical="top" wrapText="1"/>
    </xf>
    <xf numFmtId="0" fontId="8" fillId="0" borderId="0" xfId="0" applyFont="1" applyAlignment="1">
      <alignment vertical="top" wrapText="1"/>
    </xf>
    <xf numFmtId="0" fontId="135" fillId="0" borderId="0" xfId="0" applyFont="1" applyAlignment="1">
      <alignment horizontal="center" vertical="top" wrapText="1"/>
    </xf>
    <xf numFmtId="2" fontId="135" fillId="0" borderId="0" xfId="0" applyNumberFormat="1" applyFont="1" applyAlignment="1">
      <alignment vertical="top" wrapText="1"/>
    </xf>
    <xf numFmtId="0" fontId="104" fillId="0" borderId="0" xfId="0" applyFont="1"/>
    <xf numFmtId="0" fontId="100" fillId="0" borderId="0" xfId="0" applyFont="1" applyAlignment="1">
      <alignment vertical="top" wrapText="1"/>
    </xf>
    <xf numFmtId="49" fontId="95" fillId="0" borderId="0" xfId="0" applyNumberFormat="1" applyFont="1" applyAlignment="1">
      <alignment vertical="center" wrapText="1"/>
    </xf>
    <xf numFmtId="0" fontId="100" fillId="2" borderId="0" xfId="0" applyFont="1" applyFill="1" applyAlignment="1">
      <alignment vertical="top" wrapText="1"/>
    </xf>
    <xf numFmtId="0" fontId="14" fillId="2" borderId="0" xfId="0" applyFont="1" applyFill="1" applyAlignment="1">
      <alignment vertical="top" wrapText="1"/>
    </xf>
    <xf numFmtId="3" fontId="18" fillId="0" borderId="0" xfId="0" applyNumberFormat="1" applyFont="1" applyAlignment="1">
      <alignment horizontal="center" vertical="center" wrapText="1"/>
    </xf>
    <xf numFmtId="0" fontId="137" fillId="0" borderId="0" xfId="0" applyFont="1"/>
    <xf numFmtId="0" fontId="122" fillId="0" borderId="0" xfId="0" applyFont="1"/>
    <xf numFmtId="0" fontId="138" fillId="0" borderId="0" xfId="0" applyFont="1"/>
    <xf numFmtId="4" fontId="0" fillId="0" borderId="0" xfId="0" applyNumberFormat="1"/>
    <xf numFmtId="0" fontId="90" fillId="0" borderId="0" xfId="0" applyFont="1" applyAlignment="1">
      <alignment wrapText="1"/>
    </xf>
    <xf numFmtId="4" fontId="138" fillId="0" borderId="0" xfId="0" applyNumberFormat="1" applyFont="1"/>
    <xf numFmtId="0" fontId="138" fillId="0" borderId="0" xfId="0" applyFont="1" applyAlignment="1">
      <alignment wrapText="1"/>
    </xf>
    <xf numFmtId="4" fontId="139" fillId="0" borderId="0" xfId="0" applyNumberFormat="1" applyFont="1" applyAlignment="1">
      <alignment horizontal="left"/>
    </xf>
    <xf numFmtId="4" fontId="138" fillId="0" borderId="0" xfId="0" applyNumberFormat="1" applyFont="1" applyAlignment="1">
      <alignment horizontal="left"/>
    </xf>
    <xf numFmtId="4" fontId="122" fillId="0" borderId="0" xfId="0" applyNumberFormat="1" applyFont="1"/>
    <xf numFmtId="4" fontId="139" fillId="0" borderId="0" xfId="0" applyNumberFormat="1" applyFont="1"/>
    <xf numFmtId="0" fontId="4" fillId="0" borderId="0" xfId="0" applyFont="1" applyAlignment="1">
      <alignment horizontal="left" vertical="top" wrapText="1"/>
    </xf>
    <xf numFmtId="0" fontId="140" fillId="0" borderId="0" xfId="0" applyFont="1"/>
    <xf numFmtId="4" fontId="141" fillId="0" borderId="0" xfId="0" applyNumberFormat="1" applyFont="1"/>
    <xf numFmtId="4" fontId="138" fillId="0" borderId="0" xfId="0" applyNumberFormat="1" applyFont="1" applyAlignment="1">
      <alignment horizontal="left" vertical="top"/>
    </xf>
    <xf numFmtId="49" fontId="12" fillId="0" borderId="0" xfId="0" applyNumberFormat="1" applyFont="1" applyAlignment="1">
      <alignment horizontal="left" vertical="center" wrapText="1"/>
    </xf>
    <xf numFmtId="0" fontId="137" fillId="0" borderId="0" xfId="0" applyFont="1" applyAlignment="1">
      <alignment wrapText="1"/>
    </xf>
    <xf numFmtId="0" fontId="105" fillId="0" borderId="0" xfId="0" applyFont="1" applyAlignment="1">
      <alignment horizontal="left"/>
    </xf>
    <xf numFmtId="0" fontId="142" fillId="0" borderId="0" xfId="0" applyFont="1" applyAlignment="1">
      <alignment vertical="center" wrapText="1"/>
    </xf>
    <xf numFmtId="0" fontId="143" fillId="0" borderId="0" xfId="0" applyFont="1" applyAlignment="1">
      <alignment vertical="center" wrapText="1"/>
    </xf>
    <xf numFmtId="0" fontId="144" fillId="0" borderId="0" xfId="0" applyFont="1" applyAlignment="1">
      <alignment vertical="center" wrapText="1"/>
    </xf>
    <xf numFmtId="0" fontId="138" fillId="0" borderId="0" xfId="0" applyFont="1" applyAlignment="1">
      <alignment vertical="top" wrapText="1"/>
    </xf>
    <xf numFmtId="0" fontId="145" fillId="0" borderId="0" xfId="0" applyFont="1"/>
    <xf numFmtId="49" fontId="119" fillId="0" borderId="0" xfId="0" applyNumberFormat="1" applyFont="1" applyAlignment="1">
      <alignment horizontal="left" vertical="center" wrapText="1"/>
    </xf>
    <xf numFmtId="0" fontId="146" fillId="0" borderId="0" xfId="0" applyFont="1" applyAlignment="1">
      <alignment wrapText="1"/>
    </xf>
    <xf numFmtId="0" fontId="147" fillId="0" borderId="0" xfId="0" applyFont="1" applyAlignment="1">
      <alignment wrapText="1"/>
    </xf>
    <xf numFmtId="0" fontId="148" fillId="0" borderId="0" xfId="0" applyFont="1"/>
    <xf numFmtId="0" fontId="147" fillId="0" borderId="0" xfId="0" applyFont="1"/>
    <xf numFmtId="4" fontId="89" fillId="0" borderId="0" xfId="0" applyNumberFormat="1" applyFont="1"/>
    <xf numFmtId="0" fontId="149" fillId="0" borderId="0" xfId="0" applyFont="1"/>
    <xf numFmtId="4" fontId="87" fillId="0" borderId="0" xfId="0" applyNumberFormat="1" applyFont="1"/>
    <xf numFmtId="4" fontId="137" fillId="0" borderId="0" xfId="0" applyNumberFormat="1" applyFont="1" applyAlignment="1">
      <alignment vertical="center"/>
    </xf>
    <xf numFmtId="4" fontId="0" fillId="0" borderId="0" xfId="0" applyNumberFormat="1" applyAlignment="1">
      <alignment vertical="center"/>
    </xf>
    <xf numFmtId="0" fontId="122" fillId="0" borderId="0" xfId="0" applyFont="1" applyAlignment="1">
      <alignment horizontal="center" vertical="center"/>
    </xf>
    <xf numFmtId="4" fontId="89" fillId="0" borderId="0" xfId="0" applyNumberFormat="1" applyFont="1" applyAlignment="1">
      <alignment vertical="center"/>
    </xf>
    <xf numFmtId="0" fontId="90" fillId="2" borderId="0" xfId="0" applyFont="1" applyFill="1"/>
    <xf numFmtId="3" fontId="87" fillId="0" borderId="0" xfId="0" applyNumberFormat="1" applyFont="1"/>
    <xf numFmtId="49" fontId="95" fillId="0" borderId="0" xfId="0" applyNumberFormat="1" applyFont="1" applyAlignment="1">
      <alignment horizontal="center" vertical="center" wrapText="1"/>
    </xf>
    <xf numFmtId="0" fontId="105" fillId="0" borderId="0" xfId="0" applyFont="1" applyAlignment="1">
      <alignment horizontal="left" vertical="top"/>
    </xf>
    <xf numFmtId="49" fontId="94" fillId="0" borderId="0" xfId="0" applyNumberFormat="1" applyFont="1" applyAlignment="1">
      <alignment horizontal="center" vertical="center" wrapText="1"/>
    </xf>
    <xf numFmtId="0" fontId="102" fillId="0" borderId="0" xfId="0" applyFont="1" applyAlignment="1">
      <alignment horizontal="center" vertical="top"/>
    </xf>
    <xf numFmtId="49" fontId="12" fillId="0" borderId="0" xfId="0" applyNumberFormat="1" applyFont="1" applyAlignment="1">
      <alignment horizontal="center" vertical="center"/>
    </xf>
    <xf numFmtId="49" fontId="12" fillId="0" borderId="0" xfId="0" applyNumberFormat="1" applyFont="1" applyAlignment="1">
      <alignment horizontal="center" wrapText="1"/>
    </xf>
    <xf numFmtId="0" fontId="12" fillId="0" borderId="0" xfId="0" applyFont="1" applyAlignment="1">
      <alignment vertical="top" wrapText="1"/>
    </xf>
    <xf numFmtId="49" fontId="95" fillId="0" borderId="0" xfId="0" applyNumberFormat="1" applyFont="1" applyAlignment="1">
      <alignment vertical="top" wrapText="1"/>
    </xf>
    <xf numFmtId="0" fontId="12" fillId="0" borderId="0" xfId="0" applyFont="1" applyAlignment="1">
      <alignment horizontal="left" vertical="center" wrapText="1"/>
    </xf>
    <xf numFmtId="0" fontId="105" fillId="0" borderId="0" xfId="0" applyFont="1"/>
    <xf numFmtId="0" fontId="146" fillId="0" borderId="0" xfId="0" applyFont="1" applyAlignment="1">
      <alignment horizontal="center" vertical="center"/>
    </xf>
    <xf numFmtId="0" fontId="95" fillId="0" borderId="0" xfId="0" applyFont="1"/>
    <xf numFmtId="0" fontId="105" fillId="2" borderId="0" xfId="0" applyFont="1" applyFill="1"/>
    <xf numFmtId="0" fontId="115" fillId="2" borderId="0" xfId="0" applyFont="1" applyFill="1"/>
    <xf numFmtId="0" fontId="95" fillId="2" borderId="0" xfId="0" applyFont="1" applyFill="1"/>
    <xf numFmtId="0" fontId="29" fillId="0" borderId="0" xfId="0" applyFont="1" applyAlignment="1">
      <alignment horizontal="center" vertical="center" wrapText="1"/>
    </xf>
    <xf numFmtId="0" fontId="112" fillId="0" borderId="0" xfId="0" applyFont="1" applyAlignment="1">
      <alignment horizontal="center" vertical="center" wrapText="1"/>
    </xf>
    <xf numFmtId="0" fontId="29" fillId="0" borderId="0" xfId="0" applyFont="1" applyAlignment="1">
      <alignment horizontal="left" vertical="top"/>
    </xf>
    <xf numFmtId="0" fontId="113" fillId="0" borderId="0" xfId="0" applyFont="1" applyAlignment="1">
      <alignment horizontal="center" vertical="center" wrapText="1"/>
    </xf>
    <xf numFmtId="0" fontId="119" fillId="0" borderId="0" xfId="0" applyFont="1" applyAlignment="1">
      <alignment horizontal="center" vertical="center" wrapText="1"/>
    </xf>
    <xf numFmtId="0" fontId="29" fillId="0" borderId="0" xfId="0" applyFont="1" applyAlignment="1">
      <alignment horizontal="center" vertical="top" wrapText="1"/>
    </xf>
    <xf numFmtId="0" fontId="108" fillId="0" borderId="0" xfId="0" applyFont="1" applyAlignment="1">
      <alignment horizontal="center" vertical="center" wrapText="1"/>
    </xf>
    <xf numFmtId="0" fontId="12" fillId="0" borderId="0" xfId="0" applyFont="1"/>
    <xf numFmtId="0" fontId="94" fillId="0" borderId="0" xfId="0" applyFont="1" applyAlignment="1">
      <alignment horizontal="center" vertical="center" wrapText="1"/>
    </xf>
    <xf numFmtId="0" fontId="29"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xf>
    <xf numFmtId="0" fontId="115" fillId="0" borderId="0" xfId="0" applyFont="1" applyAlignment="1">
      <alignment horizontal="left" vertical="top" wrapText="1"/>
    </xf>
    <xf numFmtId="0" fontId="12" fillId="0" borderId="0" xfId="0" applyFont="1" applyAlignment="1">
      <alignment vertical="top"/>
    </xf>
    <xf numFmtId="0" fontId="95" fillId="0" borderId="0" xfId="0" applyFont="1" applyAlignment="1">
      <alignment horizontal="left" vertical="top" wrapText="1"/>
    </xf>
    <xf numFmtId="0" fontId="20" fillId="0" borderId="0" xfId="0" applyFont="1" applyAlignment="1">
      <alignment vertical="center" wrapText="1"/>
    </xf>
    <xf numFmtId="164" fontId="21" fillId="0" borderId="0" xfId="0" applyNumberFormat="1" applyFont="1" applyAlignment="1">
      <alignment vertical="center" wrapText="1"/>
    </xf>
    <xf numFmtId="3" fontId="21" fillId="0" borderId="0" xfId="0" applyNumberFormat="1" applyFont="1" applyAlignment="1">
      <alignment vertical="center" wrapText="1"/>
    </xf>
    <xf numFmtId="165" fontId="21" fillId="0" borderId="0" xfId="0" applyNumberFormat="1" applyFont="1" applyAlignment="1">
      <alignment vertical="center" wrapText="1"/>
    </xf>
    <xf numFmtId="49" fontId="150" fillId="0" borderId="0" xfId="0" applyNumberFormat="1" applyFont="1" applyAlignment="1">
      <alignment horizontal="center" vertical="center" wrapText="1"/>
    </xf>
    <xf numFmtId="0" fontId="101" fillId="0" borderId="0" xfId="0" applyFont="1" applyAlignment="1">
      <alignment horizontal="center"/>
    </xf>
    <xf numFmtId="2" fontId="97" fillId="0" borderId="0" xfId="0" applyNumberFormat="1" applyFont="1" applyAlignment="1">
      <alignment horizontal="left" vertical="top" wrapText="1"/>
    </xf>
    <xf numFmtId="0" fontId="97" fillId="0" borderId="0" xfId="0" applyFont="1" applyAlignment="1">
      <alignment horizontal="left" vertical="top" wrapText="1"/>
    </xf>
    <xf numFmtId="0" fontId="97" fillId="0" borderId="0" xfId="0" applyFont="1" applyAlignment="1">
      <alignment horizontal="center" vertical="top" wrapText="1"/>
    </xf>
    <xf numFmtId="2" fontId="97" fillId="0" borderId="0" xfId="0" applyNumberFormat="1" applyFont="1" applyAlignment="1">
      <alignment horizontal="center" vertical="top" wrapText="1"/>
    </xf>
    <xf numFmtId="0" fontId="33" fillId="0" borderId="0" xfId="0" applyFont="1" applyAlignment="1">
      <alignment horizontal="left" vertical="top" wrapText="1"/>
    </xf>
    <xf numFmtId="0" fontId="33" fillId="0" borderId="0" xfId="0" applyFont="1" applyAlignment="1">
      <alignment horizontal="left" vertical="center" wrapText="1"/>
    </xf>
    <xf numFmtId="0" fontId="65" fillId="0" borderId="0" xfId="0" applyFont="1" applyAlignment="1">
      <alignment horizontal="left" vertical="top"/>
    </xf>
    <xf numFmtId="0" fontId="65" fillId="0" borderId="0" xfId="0" applyFont="1" applyAlignment="1">
      <alignment horizontal="left" vertical="top" wrapText="1"/>
    </xf>
    <xf numFmtId="0" fontId="8" fillId="0" borderId="0" xfId="0" applyFont="1" applyAlignment="1">
      <alignment horizontal="right" vertical="top" wrapText="1"/>
    </xf>
    <xf numFmtId="0" fontId="21" fillId="0" borderId="0" xfId="0" applyFont="1" applyAlignment="1">
      <alignment horizontal="right" vertical="top" wrapText="1"/>
    </xf>
    <xf numFmtId="165" fontId="8" fillId="0" borderId="0" xfId="0" applyNumberFormat="1" applyFont="1" applyAlignment="1">
      <alignment horizontal="right" vertical="top" wrapText="1"/>
    </xf>
    <xf numFmtId="0" fontId="8" fillId="0" borderId="0" xfId="0" applyFont="1" applyAlignment="1">
      <alignment horizontal="right"/>
    </xf>
    <xf numFmtId="2" fontId="8" fillId="0" borderId="0" xfId="0" applyNumberFormat="1" applyFont="1" applyAlignment="1">
      <alignment wrapText="1"/>
    </xf>
    <xf numFmtId="2" fontId="8" fillId="0" borderId="0" xfId="0" applyNumberFormat="1" applyFont="1"/>
    <xf numFmtId="164" fontId="8" fillId="0" borderId="0" xfId="0" applyNumberFormat="1" applyFont="1"/>
    <xf numFmtId="164" fontId="8" fillId="0" borderId="0" xfId="0" applyNumberFormat="1" applyFont="1" applyAlignment="1">
      <alignment wrapText="1"/>
    </xf>
    <xf numFmtId="165" fontId="8" fillId="0" borderId="0" xfId="0" applyNumberFormat="1" applyFont="1"/>
    <xf numFmtId="165" fontId="8" fillId="0" borderId="0" xfId="0" applyNumberFormat="1" applyFont="1" applyAlignment="1">
      <alignment wrapText="1"/>
    </xf>
    <xf numFmtId="0" fontId="18" fillId="0" borderId="0" xfId="0" applyFont="1"/>
    <xf numFmtId="0" fontId="18" fillId="0" borderId="0" xfId="0" applyFont="1" applyAlignment="1">
      <alignment horizontal="center" wrapText="1"/>
    </xf>
    <xf numFmtId="3" fontId="21" fillId="0" borderId="0" xfId="0" applyNumberFormat="1" applyFont="1" applyAlignment="1">
      <alignment horizontal="right" wrapText="1"/>
    </xf>
    <xf numFmtId="2" fontId="8" fillId="0" borderId="0" xfId="0" applyNumberFormat="1" applyFont="1" applyAlignment="1">
      <alignment horizontal="center" wrapText="1"/>
    </xf>
    <xf numFmtId="164" fontId="8" fillId="0" borderId="0" xfId="0" applyNumberFormat="1" applyFont="1" applyAlignment="1">
      <alignment horizontal="center" wrapText="1"/>
    </xf>
    <xf numFmtId="0" fontId="8" fillId="0" borderId="0" xfId="0" applyFont="1" applyAlignment="1">
      <alignment horizontal="center" vertical="top" wrapText="1"/>
    </xf>
    <xf numFmtId="49" fontId="8" fillId="0" borderId="2" xfId="0" applyNumberFormat="1" applyFont="1" applyBorder="1" applyAlignment="1">
      <alignment horizontal="center" vertical="top" wrapText="1"/>
    </xf>
    <xf numFmtId="164" fontId="8" fillId="0" borderId="2" xfId="0" applyNumberFormat="1" applyFont="1" applyBorder="1" applyAlignment="1">
      <alignment horizontal="center" vertical="top" wrapText="1"/>
    </xf>
    <xf numFmtId="3" fontId="8" fillId="0" borderId="3" xfId="0" applyNumberFormat="1" applyFont="1" applyBorder="1" applyAlignment="1">
      <alignment horizontal="center" vertical="center" wrapText="1"/>
    </xf>
    <xf numFmtId="164" fontId="21" fillId="0" borderId="0" xfId="0" applyNumberFormat="1" applyFont="1" applyAlignment="1">
      <alignment horizontal="right" vertical="top" wrapText="1"/>
    </xf>
    <xf numFmtId="4" fontId="21" fillId="0" borderId="0" xfId="0" applyNumberFormat="1" applyFont="1" applyAlignment="1">
      <alignment horizontal="right" vertical="top" wrapText="1"/>
    </xf>
    <xf numFmtId="0" fontId="8" fillId="0" borderId="0" xfId="3" applyFont="1" applyAlignment="1">
      <alignment horizontal="center" vertical="top"/>
    </xf>
    <xf numFmtId="0" fontId="8" fillId="0" borderId="0" xfId="3" applyFont="1" applyAlignment="1">
      <alignment horizontal="left" vertical="top" wrapText="1"/>
    </xf>
    <xf numFmtId="49" fontId="8" fillId="0" borderId="0" xfId="3" applyNumberFormat="1" applyFont="1" applyAlignment="1">
      <alignment horizontal="left" vertical="top"/>
    </xf>
    <xf numFmtId="4" fontId="8" fillId="0" borderId="0" xfId="3" applyNumberFormat="1" applyFont="1" applyAlignment="1">
      <alignment horizontal="right" vertical="top"/>
    </xf>
    <xf numFmtId="2" fontId="8" fillId="0" borderId="0" xfId="3" applyNumberFormat="1" applyFont="1" applyAlignment="1">
      <alignment horizontal="right" vertical="top"/>
    </xf>
    <xf numFmtId="2" fontId="21" fillId="0" borderId="0" xfId="0" applyNumberFormat="1" applyFont="1" applyAlignment="1">
      <alignment horizontal="right" vertical="top" wrapText="1"/>
    </xf>
    <xf numFmtId="0" fontId="8" fillId="0" borderId="0" xfId="1" applyFont="1" applyFill="1" applyBorder="1" applyAlignment="1">
      <alignment horizontal="left" vertical="top" wrapText="1"/>
    </xf>
    <xf numFmtId="0" fontId="8" fillId="0" borderId="2" xfId="0" applyFont="1" applyBorder="1" applyAlignment="1">
      <alignment horizontal="center" vertical="top" wrapText="1"/>
    </xf>
    <xf numFmtId="49" fontId="65" fillId="0" borderId="0" xfId="0" applyNumberFormat="1" applyFont="1" applyAlignment="1">
      <alignment horizontal="left" vertical="top" wrapText="1"/>
    </xf>
    <xf numFmtId="0" fontId="18" fillId="0" borderId="0" xfId="0" applyFont="1" applyAlignment="1">
      <alignment horizontal="right" wrapText="1"/>
    </xf>
    <xf numFmtId="2" fontId="8" fillId="0" borderId="0" xfId="0" applyNumberFormat="1" applyFont="1" applyAlignment="1">
      <alignment horizontal="right" wrapText="1"/>
    </xf>
    <xf numFmtId="0" fontId="20" fillId="0" borderId="0" xfId="0" applyFont="1" applyAlignment="1">
      <alignment horizontal="center" wrapText="1"/>
    </xf>
    <xf numFmtId="0" fontId="65" fillId="0" borderId="1" xfId="0" applyFont="1" applyBorder="1" applyAlignment="1">
      <alignment horizontal="center" vertical="center" wrapText="1"/>
    </xf>
    <xf numFmtId="1" fontId="65" fillId="0" borderId="0" xfId="0" applyNumberFormat="1" applyFont="1" applyAlignment="1">
      <alignment horizontal="left" vertical="top" wrapText="1"/>
    </xf>
    <xf numFmtId="1" fontId="66" fillId="0" borderId="0" xfId="0" applyNumberFormat="1" applyFont="1" applyAlignment="1">
      <alignment horizontal="left" vertical="top" wrapText="1"/>
    </xf>
    <xf numFmtId="1" fontId="66" fillId="0" borderId="0" xfId="0" applyNumberFormat="1" applyFont="1" applyAlignment="1">
      <alignment horizontal="left" vertical="top"/>
    </xf>
    <xf numFmtId="0" fontId="3" fillId="0" borderId="0" xfId="0" applyFont="1"/>
    <xf numFmtId="1" fontId="65" fillId="0" borderId="0" xfId="0" applyNumberFormat="1" applyFont="1" applyAlignment="1">
      <alignment horizontal="left" vertical="top"/>
    </xf>
    <xf numFmtId="0" fontId="3" fillId="0" borderId="0" xfId="0" applyFont="1" applyAlignment="1">
      <alignment horizontal="left"/>
    </xf>
    <xf numFmtId="0" fontId="2" fillId="0" borderId="0" xfId="0" applyFont="1" applyAlignment="1">
      <alignment horizontal="left" vertical="center" wrapText="1"/>
    </xf>
    <xf numFmtId="2" fontId="21" fillId="0" borderId="0" xfId="0" applyNumberFormat="1" applyFont="1" applyAlignment="1">
      <alignment horizontal="center" wrapText="1"/>
    </xf>
    <xf numFmtId="3" fontId="8" fillId="0" borderId="0" xfId="0" applyNumberFormat="1" applyFont="1" applyAlignment="1">
      <alignment horizontal="center" wrapText="1"/>
    </xf>
    <xf numFmtId="165" fontId="18" fillId="0" borderId="0" xfId="0" applyNumberFormat="1" applyFont="1" applyAlignment="1">
      <alignment horizontal="center" wrapText="1"/>
    </xf>
    <xf numFmtId="166" fontId="8" fillId="0" borderId="0" xfId="0" applyNumberFormat="1" applyFont="1" applyAlignment="1">
      <alignment horizontal="center" wrapText="1"/>
    </xf>
    <xf numFmtId="2" fontId="8" fillId="0" borderId="0" xfId="0" applyNumberFormat="1" applyFont="1" applyAlignment="1">
      <alignment horizontal="left" wrapText="1"/>
    </xf>
    <xf numFmtId="167" fontId="8" fillId="0" borderId="0" xfId="0" applyNumberFormat="1" applyFont="1" applyAlignment="1">
      <alignment horizontal="center" wrapText="1"/>
    </xf>
    <xf numFmtId="0" fontId="21" fillId="0" borderId="0" xfId="0" applyFont="1" applyAlignment="1">
      <alignment horizontal="center" wrapText="1"/>
    </xf>
    <xf numFmtId="165" fontId="8" fillId="0" borderId="0" xfId="0" applyNumberFormat="1" applyFont="1" applyAlignment="1">
      <alignment horizontal="center" wrapText="1"/>
    </xf>
    <xf numFmtId="49" fontId="65" fillId="0" borderId="0" xfId="0" applyNumberFormat="1" applyFont="1" applyAlignment="1">
      <alignment horizontal="left" vertical="top"/>
    </xf>
    <xf numFmtId="0" fontId="18" fillId="0" borderId="0" xfId="0" applyFont="1" applyAlignment="1">
      <alignment horizontal="center"/>
    </xf>
    <xf numFmtId="2" fontId="21" fillId="0" borderId="0" xfId="0" applyNumberFormat="1" applyFont="1" applyAlignment="1">
      <alignment horizontal="left" wrapText="1"/>
    </xf>
    <xf numFmtId="165" fontId="21" fillId="0" borderId="0" xfId="0" applyNumberFormat="1" applyFont="1" applyAlignment="1">
      <alignment wrapText="1"/>
    </xf>
    <xf numFmtId="3" fontId="21" fillId="0" borderId="0" xfId="0" applyNumberFormat="1" applyFont="1" applyAlignment="1">
      <alignment wrapText="1"/>
    </xf>
    <xf numFmtId="3" fontId="8" fillId="0" borderId="0" xfId="0" applyNumberFormat="1" applyFont="1" applyAlignment="1">
      <alignment wrapText="1"/>
    </xf>
    <xf numFmtId="0" fontId="18" fillId="0" borderId="0" xfId="0" applyFont="1" applyAlignment="1">
      <alignment horizontal="left" vertical="top" wrapText="1"/>
    </xf>
    <xf numFmtId="0" fontId="18" fillId="0" borderId="0" xfId="0" applyFont="1" applyAlignment="1">
      <alignment horizontal="left" wrapText="1"/>
    </xf>
    <xf numFmtId="0" fontId="8" fillId="0" borderId="0" xfId="0" applyFont="1" applyAlignment="1">
      <alignment vertical="top"/>
    </xf>
    <xf numFmtId="0" fontId="64" fillId="0" borderId="0" xfId="0" applyFont="1" applyAlignment="1">
      <alignment horizontal="center" vertical="center" wrapText="1"/>
    </xf>
    <xf numFmtId="49" fontId="8" fillId="0" borderId="0" xfId="0" applyNumberFormat="1" applyFont="1" applyAlignment="1">
      <alignment horizontal="center"/>
    </xf>
    <xf numFmtId="3" fontId="8" fillId="0" borderId="0" xfId="0" applyNumberFormat="1" applyFont="1"/>
    <xf numFmtId="0" fontId="2" fillId="0" borderId="0" xfId="0" applyFont="1"/>
    <xf numFmtId="0" fontId="21" fillId="0" borderId="0" xfId="0" applyFont="1"/>
    <xf numFmtId="3" fontId="21" fillId="0" borderId="0" xfId="0" applyNumberFormat="1" applyFont="1"/>
    <xf numFmtId="0" fontId="151" fillId="0" borderId="0" xfId="0" applyFont="1"/>
    <xf numFmtId="0" fontId="2" fillId="0" borderId="0" xfId="0" applyFont="1" applyAlignment="1">
      <alignment vertical="top"/>
    </xf>
    <xf numFmtId="0" fontId="151" fillId="0" borderId="0" xfId="0" applyFont="1" applyAlignment="1">
      <alignment vertical="top" wrapText="1"/>
    </xf>
    <xf numFmtId="0" fontId="151" fillId="0" borderId="0" xfId="0" applyFont="1" applyAlignment="1">
      <alignment horizontal="center" vertical="center"/>
    </xf>
    <xf numFmtId="0" fontId="71" fillId="0" borderId="0" xfId="0" applyFont="1" applyAlignment="1">
      <alignment horizontal="left" vertical="top" wrapText="1"/>
    </xf>
    <xf numFmtId="0" fontId="72" fillId="0" borderId="0" xfId="0" applyFont="1" applyAlignment="1">
      <alignment horizontal="left" vertical="top" wrapText="1"/>
    </xf>
    <xf numFmtId="0" fontId="2" fillId="0" borderId="0" xfId="0" applyFont="1" applyAlignment="1">
      <alignment horizontal="left" wrapText="1"/>
    </xf>
    <xf numFmtId="0" fontId="71" fillId="0" borderId="0" xfId="0" applyFont="1" applyAlignment="1">
      <alignment horizontal="left" vertical="top"/>
    </xf>
    <xf numFmtId="0" fontId="66" fillId="0" borderId="0" xfId="0" applyFont="1" applyAlignment="1">
      <alignment horizontal="left" vertical="top"/>
    </xf>
    <xf numFmtId="0" fontId="2" fillId="0" borderId="0" xfId="0" applyFont="1" applyAlignment="1">
      <alignment wrapText="1"/>
    </xf>
    <xf numFmtId="0" fontId="2" fillId="0" borderId="0" xfId="0" applyFont="1" applyAlignment="1">
      <alignment horizontal="left"/>
    </xf>
    <xf numFmtId="0" fontId="73" fillId="0" borderId="0" xfId="0" applyFont="1" applyAlignment="1">
      <alignment wrapText="1"/>
    </xf>
    <xf numFmtId="0" fontId="152" fillId="0" borderId="0" xfId="0" applyFont="1" applyAlignment="1">
      <alignment wrapText="1"/>
    </xf>
    <xf numFmtId="0" fontId="8" fillId="0" borderId="0" xfId="0" applyFont="1" applyAlignment="1">
      <alignment horizontal="center" vertical="center"/>
    </xf>
    <xf numFmtId="0" fontId="153" fillId="0" borderId="0" xfId="0" applyFont="1" applyAlignment="1">
      <alignment horizontal="left" vertical="top"/>
    </xf>
    <xf numFmtId="0" fontId="2" fillId="0" borderId="0" xfId="0" applyFont="1" applyAlignment="1">
      <alignment horizontal="left" vertical="top" wrapText="1"/>
    </xf>
    <xf numFmtId="0" fontId="154" fillId="0" borderId="0" xfId="0" applyFont="1"/>
    <xf numFmtId="0" fontId="155" fillId="0" borderId="0" xfId="0" applyFont="1" applyAlignment="1">
      <alignment vertical="top" wrapText="1"/>
    </xf>
    <xf numFmtId="4" fontId="12" fillId="0" borderId="0" xfId="0" applyNumberFormat="1" applyFont="1" applyAlignment="1">
      <alignment wrapText="1"/>
    </xf>
    <xf numFmtId="168" fontId="8" fillId="0" borderId="0" xfId="0" applyNumberFormat="1" applyFont="1" applyAlignment="1">
      <alignment horizontal="center" wrapText="1"/>
    </xf>
    <xf numFmtId="0" fontId="152" fillId="0" borderId="0" xfId="0" applyFont="1"/>
    <xf numFmtId="0" fontId="8" fillId="0" borderId="0" xfId="0" applyFont="1" applyAlignment="1">
      <alignment horizontal="center"/>
    </xf>
    <xf numFmtId="4" fontId="154" fillId="0" borderId="0" xfId="0" applyNumberFormat="1" applyFont="1"/>
    <xf numFmtId="0" fontId="156" fillId="0" borderId="0" xfId="0" applyFont="1" applyAlignment="1">
      <alignment wrapText="1"/>
    </xf>
    <xf numFmtId="0" fontId="152" fillId="0" borderId="0" xfId="0" applyFont="1" applyAlignment="1">
      <alignment vertical="center" wrapText="1"/>
    </xf>
    <xf numFmtId="0" fontId="151" fillId="0" borderId="0" xfId="0" applyFont="1" applyAlignment="1">
      <alignment vertical="top"/>
    </xf>
    <xf numFmtId="0" fontId="64" fillId="0" borderId="0" xfId="0" applyFont="1"/>
    <xf numFmtId="0" fontId="77" fillId="0" borderId="0" xfId="0" applyFont="1"/>
    <xf numFmtId="0" fontId="151" fillId="0" borderId="0" xfId="0" applyFont="1" applyAlignment="1">
      <alignment wrapText="1"/>
    </xf>
    <xf numFmtId="0" fontId="34" fillId="0" borderId="0" xfId="0" applyFont="1" applyAlignment="1">
      <alignment wrapText="1"/>
    </xf>
    <xf numFmtId="0" fontId="154" fillId="0" borderId="0" xfId="0" applyFont="1" applyAlignment="1">
      <alignment wrapText="1"/>
    </xf>
    <xf numFmtId="0" fontId="18" fillId="0" borderId="0" xfId="0" applyFont="1" applyAlignment="1">
      <alignment wrapText="1"/>
    </xf>
    <xf numFmtId="0" fontId="21" fillId="0" borderId="0" xfId="0" applyFont="1" applyAlignment="1">
      <alignment vertical="top" wrapText="1"/>
    </xf>
    <xf numFmtId="0" fontId="18" fillId="0" borderId="0" xfId="0" applyFont="1" applyAlignment="1">
      <alignment vertical="top" wrapText="1"/>
    </xf>
    <xf numFmtId="0" fontId="65" fillId="0" borderId="4" xfId="0" applyFont="1" applyBorder="1" applyAlignment="1">
      <alignment horizontal="left" vertical="top"/>
    </xf>
    <xf numFmtId="0" fontId="43" fillId="0" borderId="0" xfId="0" applyFont="1"/>
    <xf numFmtId="0" fontId="2" fillId="0" borderId="0" xfId="0" applyFont="1" applyAlignment="1">
      <alignment horizontal="center"/>
    </xf>
    <xf numFmtId="0" fontId="152" fillId="0" borderId="0" xfId="0" applyFont="1" applyAlignment="1">
      <alignment vertical="top" wrapText="1"/>
    </xf>
    <xf numFmtId="0" fontId="156" fillId="0" borderId="0" xfId="0" applyFont="1"/>
    <xf numFmtId="0" fontId="80" fillId="0" borderId="0" xfId="0" applyFont="1" applyAlignment="1">
      <alignment wrapText="1"/>
    </xf>
    <xf numFmtId="0" fontId="65" fillId="0" borderId="0" xfId="0" applyFont="1"/>
    <xf numFmtId="0" fontId="8" fillId="0" borderId="0" xfId="0" applyFont="1" applyAlignment="1">
      <alignment horizontal="left" vertical="top"/>
    </xf>
    <xf numFmtId="4" fontId="8" fillId="0" borderId="0" xfId="0" applyNumberFormat="1" applyFont="1" applyAlignment="1">
      <alignment horizontal="right"/>
    </xf>
    <xf numFmtId="4" fontId="8" fillId="0" borderId="0" xfId="0" applyNumberFormat="1" applyFont="1" applyAlignment="1">
      <alignment horizontal="right" wrapText="1"/>
    </xf>
    <xf numFmtId="0" fontId="8" fillId="0" borderId="0" xfId="0" applyFont="1" applyAlignment="1">
      <alignment horizontal="right" wrapText="1"/>
    </xf>
    <xf numFmtId="1" fontId="8" fillId="0" borderId="0" xfId="0" applyNumberFormat="1" applyFont="1"/>
    <xf numFmtId="0" fontId="154" fillId="0" borderId="0" xfId="0" applyFont="1" applyAlignment="1">
      <alignment horizontal="center" vertical="center"/>
    </xf>
    <xf numFmtId="4" fontId="157" fillId="0" borderId="0" xfId="0" applyNumberFormat="1" applyFont="1"/>
    <xf numFmtId="4" fontId="154" fillId="0" borderId="0" xfId="0" applyNumberFormat="1" applyFont="1" applyAlignment="1">
      <alignment horizontal="left"/>
    </xf>
    <xf numFmtId="167" fontId="77" fillId="0" borderId="0" xfId="0" applyNumberFormat="1" applyFont="1"/>
    <xf numFmtId="4" fontId="8" fillId="0" borderId="0" xfId="0" applyNumberFormat="1" applyFont="1" applyAlignment="1">
      <alignment horizontal="center" wrapText="1"/>
    </xf>
    <xf numFmtId="2" fontId="8" fillId="0" borderId="0" xfId="0" applyNumberFormat="1" applyFont="1" applyAlignment="1">
      <alignment horizontal="left"/>
    </xf>
    <xf numFmtId="2" fontId="21" fillId="0" borderId="0" xfId="0" applyNumberFormat="1" applyFont="1" applyAlignment="1">
      <alignment horizontal="left"/>
    </xf>
    <xf numFmtId="4" fontId="8" fillId="0" borderId="0" xfId="0" applyNumberFormat="1" applyFont="1" applyAlignment="1">
      <alignment horizontal="left"/>
    </xf>
    <xf numFmtId="4" fontId="8" fillId="0" borderId="0" xfId="0" applyNumberFormat="1" applyFont="1" applyAlignment="1">
      <alignment vertical="top"/>
    </xf>
    <xf numFmtId="0" fontId="82" fillId="0" borderId="0" xfId="0" applyFont="1"/>
    <xf numFmtId="0" fontId="19" fillId="0" borderId="0" xfId="0" applyFont="1"/>
    <xf numFmtId="0" fontId="83" fillId="0" borderId="0" xfId="0" applyFont="1" applyAlignment="1">
      <alignment horizontal="center" vertical="top" wrapText="1"/>
    </xf>
    <xf numFmtId="0" fontId="82" fillId="0" borderId="0" xfId="0" applyFont="1" applyAlignment="1">
      <alignment horizontal="center" wrapText="1"/>
    </xf>
    <xf numFmtId="0" fontId="82" fillId="0" borderId="0" xfId="0" applyFont="1" applyAlignment="1">
      <alignment wrapText="1"/>
    </xf>
    <xf numFmtId="0" fontId="84" fillId="0" borderId="0" xfId="0" applyFont="1" applyAlignment="1">
      <alignment horizontal="center" wrapText="1"/>
    </xf>
    <xf numFmtId="0" fontId="82" fillId="0" borderId="0" xfId="0" applyFont="1" applyAlignment="1">
      <alignment horizontal="left" wrapText="1"/>
    </xf>
    <xf numFmtId="0" fontId="85" fillId="0" borderId="0" xfId="0" applyFont="1" applyAlignment="1">
      <alignment horizontal="justify"/>
    </xf>
    <xf numFmtId="0" fontId="84" fillId="0" borderId="0" xfId="0" applyFont="1" applyAlignment="1">
      <alignment horizontal="left" wrapText="1"/>
    </xf>
    <xf numFmtId="0" fontId="84" fillId="0" borderId="0" xfId="0" applyFont="1" applyAlignment="1">
      <alignment horizontal="left" vertical="top" wrapText="1"/>
    </xf>
    <xf numFmtId="0" fontId="84" fillId="0" borderId="0" xfId="0" applyFont="1" applyAlignment="1">
      <alignment wrapText="1"/>
    </xf>
    <xf numFmtId="0" fontId="82" fillId="0" borderId="0" xfId="0" applyFont="1" applyAlignment="1">
      <alignment horizontal="left"/>
    </xf>
    <xf numFmtId="0" fontId="65" fillId="0" borderId="0" xfId="0" applyFont="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left" vertical="top" wrapText="1"/>
    </xf>
    <xf numFmtId="164" fontId="8" fillId="0" borderId="2" xfId="0" applyNumberFormat="1" applyFont="1" applyBorder="1" applyAlignment="1">
      <alignment horizontal="right" vertical="top" wrapText="1"/>
    </xf>
    <xf numFmtId="164" fontId="8" fillId="0" borderId="2" xfId="0" applyNumberFormat="1" applyFont="1" applyBorder="1" applyAlignment="1">
      <alignment horizontal="right" vertical="center" wrapText="1"/>
    </xf>
    <xf numFmtId="3" fontId="8" fillId="0" borderId="3" xfId="0" applyNumberFormat="1" applyFont="1" applyBorder="1" applyAlignment="1">
      <alignment horizontal="right" vertical="center" wrapText="1"/>
    </xf>
    <xf numFmtId="0" fontId="8" fillId="0" borderId="0" xfId="3" applyFont="1" applyAlignment="1">
      <alignment horizontal="left" vertical="top"/>
    </xf>
    <xf numFmtId="0" fontId="8" fillId="0" borderId="0" xfId="0" applyFont="1" applyAlignment="1">
      <alignment horizontal="right" vertical="top"/>
    </xf>
    <xf numFmtId="164" fontId="21" fillId="0" borderId="0" xfId="0" applyNumberFormat="1" applyFont="1" applyAlignment="1">
      <alignment horizontal="center" vertical="top" wrapText="1"/>
    </xf>
    <xf numFmtId="3" fontId="21" fillId="0" borderId="0" xfId="0" applyNumberFormat="1" applyFont="1" applyAlignment="1">
      <alignment horizontal="left" vertical="top" wrapText="1"/>
    </xf>
    <xf numFmtId="3" fontId="8" fillId="0" borderId="0" xfId="0" applyNumberFormat="1" applyFont="1" applyAlignment="1">
      <alignment horizontal="left" vertical="top" wrapText="1"/>
    </xf>
    <xf numFmtId="4" fontId="8" fillId="0" borderId="0" xfId="0" applyNumberFormat="1" applyFont="1" applyAlignment="1">
      <alignment horizontal="right" vertical="center"/>
    </xf>
    <xf numFmtId="4" fontId="8" fillId="0" borderId="0" xfId="0" applyNumberFormat="1" applyFont="1" applyAlignment="1">
      <alignment horizontal="right" vertical="center" wrapText="1"/>
    </xf>
    <xf numFmtId="4" fontId="8" fillId="0" borderId="0" xfId="0" applyNumberFormat="1" applyFont="1" applyAlignment="1">
      <alignment horizontal="right" vertical="top" wrapText="1"/>
    </xf>
    <xf numFmtId="49" fontId="8" fillId="0" borderId="0" xfId="0" applyNumberFormat="1" applyFont="1" applyAlignment="1">
      <alignment horizontal="left" vertical="top" wrapText="1"/>
    </xf>
    <xf numFmtId="49" fontId="8" fillId="0" borderId="0" xfId="0" applyNumberFormat="1" applyFont="1" applyAlignment="1">
      <alignment horizontal="left" vertical="center"/>
    </xf>
    <xf numFmtId="3" fontId="8" fillId="0" borderId="0" xfId="0" applyNumberFormat="1" applyFont="1" applyAlignment="1">
      <alignment horizontal="right" vertical="center"/>
    </xf>
    <xf numFmtId="2" fontId="8" fillId="0" borderId="0" xfId="0" applyNumberFormat="1" applyFont="1" applyAlignment="1">
      <alignment horizontal="left" vertical="top" wrapText="1"/>
    </xf>
    <xf numFmtId="2" fontId="69" fillId="0" borderId="0" xfId="0" applyNumberFormat="1" applyFont="1" applyAlignment="1">
      <alignment horizontal="left" vertical="top" wrapText="1"/>
    </xf>
    <xf numFmtId="2" fontId="69" fillId="0" borderId="0" xfId="0" applyNumberFormat="1" applyFont="1" applyAlignment="1">
      <alignment horizontal="left" vertical="center" wrapText="1"/>
    </xf>
    <xf numFmtId="4" fontId="69" fillId="0" borderId="0" xfId="0" applyNumberFormat="1" applyFont="1" applyAlignment="1">
      <alignment horizontal="right" vertical="center" wrapText="1"/>
    </xf>
    <xf numFmtId="0" fontId="8" fillId="0" borderId="0" xfId="0" applyFont="1" applyAlignment="1">
      <alignment horizontal="center" vertical="top"/>
    </xf>
    <xf numFmtId="0" fontId="18" fillId="0" borderId="0" xfId="0" applyFont="1" applyAlignment="1">
      <alignment horizontal="left" vertical="center"/>
    </xf>
    <xf numFmtId="0" fontId="8" fillId="0" borderId="0" xfId="0" applyFont="1" applyAlignment="1">
      <alignment vertical="center" wrapText="1"/>
    </xf>
    <xf numFmtId="0" fontId="8" fillId="0" borderId="0" xfId="0" applyFont="1" applyAlignment="1">
      <alignment horizontal="right" vertical="center"/>
    </xf>
    <xf numFmtId="164" fontId="21" fillId="0" borderId="0" xfId="0" applyNumberFormat="1" applyFont="1" applyAlignment="1">
      <alignment horizontal="left" vertical="top" wrapText="1"/>
    </xf>
    <xf numFmtId="164" fontId="8" fillId="0" borderId="0" xfId="0" applyNumberFormat="1" applyFont="1" applyAlignment="1">
      <alignment horizontal="left" vertical="top" wrapText="1"/>
    </xf>
    <xf numFmtId="0" fontId="154" fillId="0" borderId="0" xfId="0" applyFont="1" applyAlignment="1">
      <alignment horizontal="left" vertical="top" wrapText="1"/>
    </xf>
    <xf numFmtId="1" fontId="8" fillId="0" borderId="0" xfId="0" applyNumberFormat="1" applyFont="1" applyAlignment="1">
      <alignment wrapText="1"/>
    </xf>
    <xf numFmtId="0" fontId="8" fillId="0" borderId="0" xfId="4" applyFont="1"/>
    <xf numFmtId="49" fontId="8" fillId="0" borderId="1" xfId="0" applyNumberFormat="1" applyFont="1" applyBorder="1" applyAlignment="1">
      <alignment horizontal="center" vertical="top" wrapText="1"/>
    </xf>
    <xf numFmtId="0" fontId="8" fillId="0" borderId="0" xfId="4" applyFont="1" applyAlignment="1">
      <alignment horizontal="left" vertical="top"/>
    </xf>
    <xf numFmtId="0" fontId="8" fillId="0" borderId="0" xfId="4" applyFont="1" applyAlignment="1">
      <alignment horizontal="right" vertical="top"/>
    </xf>
    <xf numFmtId="4" fontId="8" fillId="0" borderId="0" xfId="4" applyNumberFormat="1" applyFont="1" applyAlignment="1">
      <alignment horizontal="right" vertical="top"/>
    </xf>
    <xf numFmtId="2" fontId="8" fillId="0" borderId="0" xfId="4" applyNumberFormat="1" applyFont="1" applyAlignment="1">
      <alignment horizontal="right" vertical="top"/>
    </xf>
    <xf numFmtId="0" fontId="8" fillId="0" borderId="0" xfId="4" applyFont="1" applyAlignment="1">
      <alignment horizontal="left" vertical="top" wrapText="1"/>
    </xf>
    <xf numFmtId="49" fontId="8" fillId="0" borderId="0" xfId="4" applyNumberFormat="1" applyFont="1" applyAlignment="1">
      <alignment horizontal="center" vertical="center" wrapText="1"/>
    </xf>
    <xf numFmtId="0" fontId="8" fillId="0" borderId="0" xfId="4" applyFont="1" applyAlignment="1">
      <alignment horizontal="right" vertical="top" wrapText="1"/>
    </xf>
    <xf numFmtId="0" fontId="8" fillId="0" borderId="0" xfId="4" applyFont="1" applyAlignment="1">
      <alignment vertical="center" wrapText="1"/>
    </xf>
    <xf numFmtId="0" fontId="71" fillId="0" borderId="0" xfId="0" applyFont="1"/>
    <xf numFmtId="0" fontId="65" fillId="0" borderId="4" xfId="0" applyFont="1" applyBorder="1" applyAlignment="1">
      <alignment vertical="top" wrapText="1" indent="1"/>
    </xf>
    <xf numFmtId="0" fontId="8" fillId="0" borderId="1" xfId="0" applyFont="1" applyBorder="1" applyAlignment="1">
      <alignment horizontal="center" vertical="top" wrapText="1"/>
    </xf>
    <xf numFmtId="2" fontId="8" fillId="0" borderId="1" xfId="0" applyNumberFormat="1" applyFont="1" applyBorder="1" applyAlignment="1">
      <alignment horizontal="center" vertical="top" wrapText="1"/>
    </xf>
    <xf numFmtId="164" fontId="8" fillId="0" borderId="1" xfId="0" applyNumberFormat="1" applyFont="1" applyBorder="1" applyAlignment="1">
      <alignment horizontal="center" vertical="top" wrapText="1"/>
    </xf>
    <xf numFmtId="164" fontId="8" fillId="0" borderId="1" xfId="0" applyNumberFormat="1" applyFont="1" applyBorder="1" applyAlignment="1">
      <alignment horizontal="center" vertical="center" wrapText="1"/>
    </xf>
    <xf numFmtId="3" fontId="8" fillId="0" borderId="1" xfId="0" applyNumberFormat="1" applyFont="1" applyBorder="1" applyAlignment="1">
      <alignment horizontal="center" vertical="center" wrapText="1"/>
    </xf>
    <xf numFmtId="4" fontId="8" fillId="0" borderId="1" xfId="0" applyNumberFormat="1" applyFont="1" applyBorder="1" applyAlignment="1">
      <alignment horizontal="center" vertical="center" wrapText="1"/>
    </xf>
    <xf numFmtId="0" fontId="8" fillId="0" borderId="0" xfId="0" applyFont="1" applyAlignment="1">
      <alignment vertical="center"/>
    </xf>
    <xf numFmtId="3" fontId="8" fillId="0" borderId="3" xfId="0" applyNumberFormat="1" applyFont="1" applyBorder="1" applyAlignment="1">
      <alignment horizontal="center" vertical="top" wrapText="1"/>
    </xf>
    <xf numFmtId="0" fontId="18" fillId="0" borderId="2" xfId="0" applyFont="1" applyBorder="1" applyAlignment="1">
      <alignment horizontal="center" vertical="top" wrapText="1"/>
    </xf>
    <xf numFmtId="3" fontId="8" fillId="0" borderId="2" xfId="0" applyNumberFormat="1" applyFont="1" applyBorder="1" applyAlignment="1">
      <alignment horizontal="center" vertical="top" wrapText="1"/>
    </xf>
    <xf numFmtId="0" fontId="8" fillId="0" borderId="2" xfId="0" applyFont="1" applyBorder="1" applyAlignment="1">
      <alignment horizontal="center" vertical="center" wrapText="1"/>
    </xf>
    <xf numFmtId="164" fontId="8" fillId="0" borderId="2" xfId="0" applyNumberFormat="1" applyFont="1" applyBorder="1" applyAlignment="1">
      <alignment horizontal="center" vertical="center" wrapText="1"/>
    </xf>
    <xf numFmtId="0" fontId="8" fillId="0" borderId="0" xfId="4" applyFont="1" applyAlignment="1">
      <alignment horizontal="center"/>
    </xf>
    <xf numFmtId="0" fontId="77" fillId="0" borderId="0" xfId="0" applyFont="1" applyAlignment="1">
      <alignment wrapText="1"/>
    </xf>
    <xf numFmtId="0" fontId="152" fillId="0" borderId="5" xfId="0" applyFont="1" applyBorder="1" applyAlignment="1">
      <alignment horizontal="left" vertical="center"/>
    </xf>
    <xf numFmtId="0" fontId="156" fillId="0" borderId="8" xfId="0" applyFont="1" applyBorder="1" applyAlignment="1">
      <alignment horizontal="left" vertical="center" indent="1"/>
    </xf>
    <xf numFmtId="0" fontId="152" fillId="0" borderId="0" xfId="0" applyFont="1" applyAlignment="1">
      <alignment horizontal="left" vertical="top"/>
    </xf>
    <xf numFmtId="0" fontId="156" fillId="0" borderId="10" xfId="0" applyFont="1" applyBorder="1" applyAlignment="1">
      <alignment horizontal="left" vertical="center" indent="1"/>
    </xf>
    <xf numFmtId="0" fontId="152" fillId="0" borderId="8" xfId="0" applyFont="1" applyBorder="1"/>
    <xf numFmtId="0" fontId="152" fillId="0" borderId="10" xfId="0" applyFont="1" applyBorder="1" applyAlignment="1">
      <alignment horizontal="left" indent="1"/>
    </xf>
    <xf numFmtId="0" fontId="152" fillId="0" borderId="8" xfId="0" applyFont="1" applyBorder="1" applyAlignment="1">
      <alignment horizontal="left"/>
    </xf>
    <xf numFmtId="0" fontId="152" fillId="0" borderId="10" xfId="0" applyFont="1" applyBorder="1" applyAlignment="1">
      <alignment horizontal="left"/>
    </xf>
    <xf numFmtId="0" fontId="152" fillId="0" borderId="8" xfId="0" applyFont="1" applyBorder="1" applyAlignment="1">
      <alignment horizontal="left" indent="1"/>
    </xf>
    <xf numFmtId="0" fontId="152" fillId="0" borderId="8" xfId="0" applyFont="1" applyBorder="1" applyAlignment="1">
      <alignment horizontal="left" vertical="center"/>
    </xf>
    <xf numFmtId="0" fontId="152" fillId="0" borderId="0" xfId="0" applyFont="1" applyAlignment="1">
      <alignment horizontal="left" vertical="center"/>
    </xf>
    <xf numFmtId="0" fontId="152" fillId="0" borderId="0" xfId="0" applyFont="1" applyAlignment="1">
      <alignment horizontal="left"/>
    </xf>
    <xf numFmtId="0" fontId="152" fillId="0" borderId="0" xfId="0" applyFont="1" applyAlignment="1">
      <alignment horizontal="left" wrapText="1"/>
    </xf>
    <xf numFmtId="0" fontId="143" fillId="0" borderId="0" xfId="0" applyFont="1" applyAlignment="1">
      <alignment horizontal="left" vertical="top"/>
    </xf>
    <xf numFmtId="0" fontId="159" fillId="0" borderId="0" xfId="0" applyFont="1" applyAlignment="1">
      <alignment horizontal="center" wrapText="1"/>
    </xf>
    <xf numFmtId="0" fontId="0" fillId="0" borderId="0" xfId="0" applyAlignment="1">
      <alignment horizontal="left" wrapText="1"/>
    </xf>
    <xf numFmtId="3" fontId="159" fillId="0" borderId="0" xfId="0" applyNumberFormat="1" applyFont="1" applyAlignment="1">
      <alignment horizontal="right" wrapText="1"/>
    </xf>
    <xf numFmtId="2" fontId="3" fillId="0" borderId="0" xfId="0" applyNumberFormat="1" applyFont="1" applyAlignment="1">
      <alignment horizontal="left" wrapText="1"/>
    </xf>
    <xf numFmtId="0" fontId="159" fillId="0" borderId="0" xfId="0" applyFont="1" applyAlignment="1">
      <alignment horizontal="center"/>
    </xf>
    <xf numFmtId="0" fontId="160" fillId="0" borderId="0" xfId="0" applyFont="1" applyAlignment="1">
      <alignment horizontal="left"/>
    </xf>
    <xf numFmtId="0" fontId="158" fillId="0" borderId="0" xfId="0" applyFont="1" applyAlignment="1">
      <alignment horizontal="center"/>
    </xf>
    <xf numFmtId="3" fontId="158" fillId="0" borderId="0" xfId="0" applyNumberFormat="1" applyFont="1" applyAlignment="1">
      <alignment horizontal="right" wrapText="1"/>
    </xf>
    <xf numFmtId="0" fontId="3" fillId="0" borderId="6" xfId="0" applyFont="1" applyBorder="1" applyAlignment="1">
      <alignment horizontal="left" vertical="top"/>
    </xf>
    <xf numFmtId="0" fontId="161" fillId="0" borderId="6" xfId="0" applyFont="1" applyBorder="1" applyAlignment="1">
      <alignment horizontal="left" wrapText="1"/>
    </xf>
    <xf numFmtId="0" fontId="3" fillId="0" borderId="6" xfId="0" applyFont="1" applyBorder="1" applyAlignment="1">
      <alignment horizontal="right" vertical="center"/>
    </xf>
    <xf numFmtId="49" fontId="161" fillId="0" borderId="7" xfId="0" applyNumberFormat="1" applyFont="1" applyBorder="1" applyAlignment="1">
      <alignment horizontal="center" wrapText="1"/>
    </xf>
    <xf numFmtId="0" fontId="162" fillId="0" borderId="0" xfId="0" applyFont="1" applyAlignment="1">
      <alignment horizontal="left" wrapText="1"/>
    </xf>
    <xf numFmtId="0" fontId="3" fillId="0" borderId="0" xfId="0" applyFont="1" applyAlignment="1">
      <alignment horizontal="right" vertical="center"/>
    </xf>
    <xf numFmtId="0" fontId="161" fillId="0" borderId="9" xfId="0" applyFont="1" applyBorder="1" applyAlignment="1">
      <alignment horizontal="center" wrapText="1"/>
    </xf>
    <xf numFmtId="0" fontId="3" fillId="0" borderId="11" xfId="0" applyFont="1" applyBorder="1" applyAlignment="1">
      <alignment horizontal="left" vertical="top"/>
    </xf>
    <xf numFmtId="0" fontId="161" fillId="0" borderId="11" xfId="0" applyFont="1" applyBorder="1" applyAlignment="1">
      <alignment horizontal="center" wrapText="1"/>
    </xf>
    <xf numFmtId="0" fontId="161" fillId="0" borderId="12" xfId="0" applyFont="1" applyBorder="1" applyAlignment="1">
      <alignment horizontal="center" wrapText="1"/>
    </xf>
    <xf numFmtId="0" fontId="161" fillId="0" borderId="6" xfId="0" applyFont="1" applyBorder="1" applyAlignment="1">
      <alignment horizontal="center" wrapText="1"/>
    </xf>
    <xf numFmtId="0" fontId="161" fillId="0" borderId="7" xfId="0" applyFont="1" applyBorder="1" applyAlignment="1">
      <alignment horizontal="center" wrapText="1"/>
    </xf>
    <xf numFmtId="0" fontId="161" fillId="0" borderId="0" xfId="0" applyFont="1" applyAlignment="1">
      <alignment horizontal="center" wrapText="1"/>
    </xf>
    <xf numFmtId="0" fontId="2" fillId="4" borderId="0" xfId="0" applyFont="1" applyFill="1" applyAlignment="1" applyProtection="1">
      <alignment vertical="center"/>
      <protection locked="0"/>
    </xf>
    <xf numFmtId="0" fontId="2" fillId="4" borderId="9" xfId="0" applyFont="1" applyFill="1" applyBorder="1" applyAlignment="1" applyProtection="1">
      <alignment horizontal="center" vertical="center"/>
      <protection locked="0"/>
    </xf>
    <xf numFmtId="0" fontId="3" fillId="4" borderId="0" xfId="0" applyFont="1" applyFill="1" applyAlignment="1" applyProtection="1">
      <alignment horizontal="left" vertical="center"/>
      <protection locked="0"/>
    </xf>
    <xf numFmtId="0" fontId="2" fillId="4" borderId="9" xfId="0" applyFont="1" applyFill="1" applyBorder="1" applyAlignment="1" applyProtection="1">
      <alignment horizontal="left" vertical="center"/>
      <protection locked="0"/>
    </xf>
    <xf numFmtId="0" fontId="3" fillId="4" borderId="11" xfId="0" applyFont="1" applyFill="1" applyBorder="1" applyAlignment="1" applyProtection="1">
      <alignment horizontal="left" vertical="center"/>
      <protection locked="0"/>
    </xf>
    <xf numFmtId="0" fontId="2" fillId="0" borderId="6" xfId="0" applyFont="1" applyBorder="1" applyAlignment="1">
      <alignment horizontal="left"/>
    </xf>
    <xf numFmtId="0" fontId="3" fillId="0" borderId="11" xfId="0" applyFont="1" applyBorder="1" applyAlignment="1">
      <alignment horizontal="left" vertical="center"/>
    </xf>
    <xf numFmtId="0" fontId="90" fillId="0" borderId="0" xfId="0" applyFont="1" applyAlignment="1">
      <alignment horizontal="center" vertical="center" wrapText="1"/>
    </xf>
    <xf numFmtId="0" fontId="3" fillId="0" borderId="0" xfId="0" applyFont="1" applyAlignment="1">
      <alignment horizontal="center"/>
    </xf>
    <xf numFmtId="0" fontId="67" fillId="0" borderId="0" xfId="0" applyFont="1" applyAlignment="1">
      <alignment horizontal="center" vertical="center" wrapText="1"/>
    </xf>
    <xf numFmtId="0" fontId="3" fillId="0" borderId="0" xfId="0" applyFont="1" applyAlignment="1">
      <alignment horizontal="left" vertical="center"/>
    </xf>
    <xf numFmtId="0" fontId="19" fillId="0" borderId="0" xfId="0" applyFont="1" applyAlignment="1">
      <alignment horizontal="left"/>
    </xf>
    <xf numFmtId="0" fontId="156" fillId="0" borderId="0" xfId="0" applyFont="1" applyAlignment="1">
      <alignment vertical="top" wrapText="1"/>
    </xf>
    <xf numFmtId="14" fontId="156" fillId="0" borderId="0" xfId="0" applyNumberFormat="1" applyFont="1" applyAlignment="1">
      <alignment vertical="top"/>
    </xf>
    <xf numFmtId="14" fontId="156" fillId="0" borderId="0" xfId="0" applyNumberFormat="1" applyFont="1" applyAlignment="1">
      <alignment horizontal="center" vertical="top"/>
    </xf>
    <xf numFmtId="0" fontId="156" fillId="0" borderId="0" xfId="0" applyFont="1" applyAlignment="1">
      <alignment vertical="top"/>
    </xf>
    <xf numFmtId="0" fontId="65" fillId="5" borderId="0" xfId="0" applyFont="1" applyFill="1" applyAlignment="1">
      <alignment horizontal="left" vertical="top"/>
    </xf>
    <xf numFmtId="0" fontId="12" fillId="5" borderId="0" xfId="0" applyFont="1" applyFill="1" applyAlignment="1">
      <alignment horizontal="left" vertical="top"/>
    </xf>
    <xf numFmtId="0" fontId="28" fillId="5" borderId="0" xfId="0" applyFont="1" applyFill="1" applyAlignment="1">
      <alignment horizontal="center" vertical="center"/>
    </xf>
    <xf numFmtId="0" fontId="2" fillId="5" borderId="0" xfId="0" applyFont="1" applyFill="1"/>
    <xf numFmtId="0" fontId="21" fillId="5" borderId="0" xfId="0" applyFont="1" applyFill="1"/>
    <xf numFmtId="3" fontId="21" fillId="5" borderId="0" xfId="0" applyNumberFormat="1" applyFont="1" applyFill="1"/>
    <xf numFmtId="3" fontId="8" fillId="5" borderId="0" xfId="0" applyNumberFormat="1" applyFont="1" applyFill="1"/>
    <xf numFmtId="0" fontId="28" fillId="5" borderId="0" xfId="0" applyFont="1" applyFill="1" applyAlignment="1">
      <alignment horizontal="center" vertical="center" wrapText="1"/>
    </xf>
    <xf numFmtId="0" fontId="154" fillId="5" borderId="0" xfId="0" applyFont="1" applyFill="1" applyAlignment="1">
      <alignment horizontal="left" vertical="top" wrapText="1"/>
    </xf>
    <xf numFmtId="0" fontId="2" fillId="5" borderId="0" xfId="0" applyFont="1" applyFill="1" applyAlignment="1">
      <alignment horizontal="left" vertical="top" wrapText="1"/>
    </xf>
    <xf numFmtId="0" fontId="3" fillId="5" borderId="0" xfId="0" applyFont="1" applyFill="1" applyAlignment="1">
      <alignment horizontal="left" vertical="top" wrapText="1"/>
    </xf>
    <xf numFmtId="2" fontId="3" fillId="5" borderId="0" xfId="0" applyNumberFormat="1" applyFont="1" applyFill="1" applyAlignment="1">
      <alignment horizontal="right" vertical="top" wrapText="1"/>
    </xf>
    <xf numFmtId="4" fontId="3" fillId="5" borderId="0" xfId="0" applyNumberFormat="1" applyFont="1" applyFill="1" applyAlignment="1">
      <alignment horizontal="right" vertical="top" wrapText="1"/>
    </xf>
    <xf numFmtId="3" fontId="3" fillId="5" borderId="0" xfId="0" applyNumberFormat="1" applyFont="1" applyFill="1" applyAlignment="1">
      <alignment horizontal="right" vertical="top" wrapText="1"/>
    </xf>
    <xf numFmtId="164" fontId="3" fillId="5" borderId="0" xfId="0" applyNumberFormat="1" applyFont="1" applyFill="1" applyAlignment="1">
      <alignment horizontal="right" vertical="top" wrapText="1"/>
    </xf>
    <xf numFmtId="4" fontId="8" fillId="5" borderId="0" xfId="0" applyNumberFormat="1" applyFont="1" applyFill="1"/>
    <xf numFmtId="0" fontId="2" fillId="5" borderId="0" xfId="0" applyFont="1" applyFill="1" applyAlignment="1">
      <alignment horizontal="left"/>
    </xf>
    <xf numFmtId="49" fontId="65" fillId="5" borderId="0" xfId="0" applyNumberFormat="1" applyFont="1" applyFill="1" applyAlignment="1">
      <alignment horizontal="left" vertical="top" wrapText="1"/>
    </xf>
    <xf numFmtId="0" fontId="20" fillId="5" borderId="0" xfId="0" applyFont="1" applyFill="1" applyAlignment="1">
      <alignment horizontal="center" vertical="center" wrapText="1"/>
    </xf>
    <xf numFmtId="0" fontId="2" fillId="5" borderId="0" xfId="0" applyFont="1" applyFill="1" applyAlignment="1">
      <alignment horizontal="left" wrapText="1"/>
    </xf>
    <xf numFmtId="0" fontId="18" fillId="5" borderId="0" xfId="0" applyFont="1" applyFill="1" applyAlignment="1">
      <alignment horizontal="center" wrapText="1"/>
    </xf>
    <xf numFmtId="165" fontId="8" fillId="5" borderId="0" xfId="0" applyNumberFormat="1" applyFont="1" applyFill="1" applyAlignment="1">
      <alignment wrapText="1"/>
    </xf>
    <xf numFmtId="0" fontId="3" fillId="5" borderId="0" xfId="0" applyFont="1" applyFill="1"/>
    <xf numFmtId="0" fontId="151" fillId="5" borderId="0" xfId="0" applyFont="1" applyFill="1"/>
    <xf numFmtId="0" fontId="28" fillId="5" borderId="0" xfId="0" applyFont="1" applyFill="1" applyAlignment="1">
      <alignment vertical="top" wrapText="1"/>
    </xf>
    <xf numFmtId="3" fontId="21" fillId="5" borderId="0" xfId="0" applyNumberFormat="1" applyFont="1" applyFill="1" applyProtection="1">
      <protection locked="0"/>
    </xf>
    <xf numFmtId="0" fontId="2" fillId="5" borderId="0" xfId="0" applyFont="1" applyFill="1" applyAlignment="1">
      <alignment horizontal="center" vertical="center" wrapText="1"/>
    </xf>
    <xf numFmtId="0" fontId="8" fillId="5" borderId="0" xfId="0" applyFont="1" applyFill="1"/>
    <xf numFmtId="0" fontId="12" fillId="5" borderId="0" xfId="0" applyFont="1" applyFill="1" applyAlignment="1">
      <alignment horizontal="center" vertical="center" wrapText="1"/>
    </xf>
    <xf numFmtId="0" fontId="20" fillId="5" borderId="0" xfId="0" applyFont="1" applyFill="1" applyAlignment="1">
      <alignment horizontal="center" wrapText="1"/>
    </xf>
    <xf numFmtId="2" fontId="21" fillId="5" borderId="0" xfId="0" applyNumberFormat="1" applyFont="1" applyFill="1" applyAlignment="1">
      <alignment horizontal="center" wrapText="1"/>
    </xf>
    <xf numFmtId="3" fontId="21" fillId="5" borderId="0" xfId="0" applyNumberFormat="1" applyFont="1" applyFill="1" applyAlignment="1">
      <alignment horizontal="center" wrapText="1"/>
    </xf>
    <xf numFmtId="4" fontId="21" fillId="5" borderId="0" xfId="0" applyNumberFormat="1" applyFont="1" applyFill="1"/>
    <xf numFmtId="0" fontId="29" fillId="5" borderId="0" xfId="0" applyFont="1" applyFill="1" applyAlignment="1">
      <alignment horizontal="center" vertical="center" wrapText="1"/>
    </xf>
    <xf numFmtId="166" fontId="21" fillId="5" borderId="0" xfId="0" applyNumberFormat="1" applyFont="1" applyFill="1" applyAlignment="1">
      <alignment horizontal="center" wrapText="1"/>
    </xf>
    <xf numFmtId="0" fontId="153" fillId="5" borderId="0" xfId="0" applyFont="1" applyFill="1" applyAlignment="1">
      <alignment horizontal="left" vertical="top"/>
    </xf>
    <xf numFmtId="0" fontId="154" fillId="5" borderId="0" xfId="0" applyFont="1" applyFill="1"/>
    <xf numFmtId="4" fontId="154" fillId="5" borderId="0" xfId="0" applyNumberFormat="1" applyFont="1" applyFill="1"/>
    <xf numFmtId="0" fontId="65" fillId="5" borderId="0" xfId="0" applyFont="1" applyFill="1" applyAlignment="1">
      <alignment horizontal="left" vertical="top" wrapText="1"/>
    </xf>
    <xf numFmtId="2" fontId="8" fillId="5" borderId="0" xfId="0" applyNumberFormat="1" applyFont="1" applyFill="1" applyAlignment="1">
      <alignment horizontal="center" wrapText="1"/>
    </xf>
    <xf numFmtId="4" fontId="8" fillId="5" borderId="0" xfId="0" applyNumberFormat="1" applyFont="1" applyFill="1" applyAlignment="1">
      <alignment horizontal="right" wrapText="1"/>
    </xf>
    <xf numFmtId="0" fontId="21" fillId="5" borderId="0" xfId="0" applyFont="1" applyFill="1" applyAlignment="1">
      <alignment horizontal="center" wrapText="1"/>
    </xf>
    <xf numFmtId="0" fontId="3" fillId="5" borderId="0" xfId="0" applyFont="1" applyFill="1" applyAlignment="1">
      <alignment horizontal="left" vertical="center" wrapText="1"/>
    </xf>
    <xf numFmtId="0" fontId="8" fillId="5" borderId="0" xfId="0" applyFont="1" applyFill="1" applyAlignment="1">
      <alignment horizontal="center" wrapText="1"/>
    </xf>
    <xf numFmtId="0" fontId="21" fillId="5" borderId="0" xfId="0" applyFont="1" applyFill="1" applyAlignment="1">
      <alignment horizontal="center" vertical="top" wrapText="1"/>
    </xf>
    <xf numFmtId="0" fontId="21" fillId="5" borderId="0" xfId="0" applyFont="1" applyFill="1" applyAlignment="1">
      <alignment horizontal="center" vertical="center" wrapText="1"/>
    </xf>
    <xf numFmtId="0" fontId="3" fillId="5" borderId="0" xfId="0" applyFont="1" applyFill="1" applyAlignment="1">
      <alignment horizontal="center" vertical="center" wrapText="1"/>
    </xf>
    <xf numFmtId="0" fontId="8" fillId="5" borderId="0" xfId="0" applyFont="1" applyFill="1" applyAlignment="1">
      <alignment horizontal="left" wrapText="1"/>
    </xf>
    <xf numFmtId="2" fontId="8" fillId="5" borderId="0" xfId="0" applyNumberFormat="1" applyFont="1" applyFill="1" applyAlignment="1">
      <alignment horizontal="left" wrapText="1"/>
    </xf>
    <xf numFmtId="4" fontId="8" fillId="5" borderId="0" xfId="0" applyNumberFormat="1" applyFont="1" applyFill="1" applyAlignment="1">
      <alignment horizontal="left"/>
    </xf>
    <xf numFmtId="0" fontId="21" fillId="5" borderId="0" xfId="0" applyFont="1" applyFill="1" applyAlignment="1">
      <alignment horizontal="left" vertical="top" wrapText="1"/>
    </xf>
    <xf numFmtId="0" fontId="20" fillId="5" borderId="0" xfId="0" applyFont="1" applyFill="1" applyAlignment="1">
      <alignment wrapText="1"/>
    </xf>
    <xf numFmtId="165" fontId="21" fillId="5" borderId="0" xfId="0" applyNumberFormat="1" applyFont="1" applyFill="1" applyAlignment="1">
      <alignment wrapText="1"/>
    </xf>
    <xf numFmtId="3" fontId="21" fillId="5" borderId="0" xfId="0" applyNumberFormat="1" applyFont="1" applyFill="1" applyAlignment="1">
      <alignment wrapText="1"/>
    </xf>
    <xf numFmtId="0" fontId="2" fillId="5" borderId="0" xfId="0" applyFont="1" applyFill="1" applyAlignment="1">
      <alignment horizontal="center" vertical="center"/>
    </xf>
    <xf numFmtId="0" fontId="18" fillId="5" borderId="0" xfId="0" applyFont="1" applyFill="1" applyAlignment="1">
      <alignment wrapText="1"/>
    </xf>
    <xf numFmtId="0" fontId="18" fillId="5" borderId="0" xfId="0" applyFont="1" applyFill="1" applyAlignment="1">
      <alignment horizontal="center" vertical="center" wrapText="1"/>
    </xf>
    <xf numFmtId="0" fontId="2" fillId="5" borderId="0" xfId="0" applyFont="1" applyFill="1" applyAlignment="1">
      <alignment horizontal="center" wrapText="1"/>
    </xf>
    <xf numFmtId="0" fontId="8" fillId="5" borderId="0" xfId="0" applyFont="1" applyFill="1" applyAlignment="1">
      <alignment horizontal="left" vertical="top" wrapText="1"/>
    </xf>
    <xf numFmtId="0" fontId="8" fillId="5" borderId="0" xfId="0" applyFont="1" applyFill="1" applyAlignment="1">
      <alignment horizontal="right" vertical="top" wrapText="1"/>
    </xf>
    <xf numFmtId="0" fontId="21" fillId="5" borderId="0" xfId="0" applyFont="1" applyFill="1" applyAlignment="1">
      <alignment horizontal="right" vertical="top" wrapText="1"/>
    </xf>
    <xf numFmtId="4" fontId="8" fillId="5" borderId="0" xfId="0" applyNumberFormat="1" applyFont="1" applyFill="1" applyAlignment="1">
      <alignment horizontal="right" vertical="top" wrapText="1"/>
    </xf>
    <xf numFmtId="4" fontId="21" fillId="5" borderId="0" xfId="0" applyNumberFormat="1" applyFont="1" applyFill="1" applyAlignment="1">
      <alignment horizontal="right" vertical="top" wrapText="1"/>
    </xf>
    <xf numFmtId="0" fontId="18" fillId="5" borderId="0" xfId="0" applyFont="1" applyFill="1" applyAlignment="1">
      <alignment horizontal="left" vertical="center"/>
    </xf>
    <xf numFmtId="0" fontId="21" fillId="5" borderId="0" xfId="0" applyFont="1" applyFill="1" applyAlignment="1">
      <alignment horizontal="left" vertical="center"/>
    </xf>
    <xf numFmtId="4" fontId="21" fillId="5" borderId="0" xfId="0" applyNumberFormat="1" applyFont="1" applyFill="1" applyAlignment="1">
      <alignment horizontal="right" vertical="center"/>
    </xf>
    <xf numFmtId="0" fontId="8" fillId="5" borderId="0" xfId="0" applyFont="1" applyFill="1" applyAlignment="1">
      <alignment horizontal="left" vertical="center"/>
    </xf>
    <xf numFmtId="4" fontId="8" fillId="5" borderId="0" xfId="0" applyNumberFormat="1" applyFont="1" applyFill="1" applyAlignment="1">
      <alignment horizontal="right" vertical="center"/>
    </xf>
    <xf numFmtId="4" fontId="8" fillId="0" borderId="0" xfId="0" applyNumberFormat="1" applyFont="1" applyAlignment="1" applyProtection="1">
      <alignment horizontal="right" vertical="center" wrapText="1"/>
      <protection locked="0"/>
    </xf>
    <xf numFmtId="0" fontId="21" fillId="5" borderId="0" xfId="0" applyFont="1" applyFill="1" applyAlignment="1">
      <alignment wrapText="1"/>
    </xf>
    <xf numFmtId="4" fontId="8" fillId="5" borderId="0" xfId="0" applyNumberFormat="1" applyFont="1" applyFill="1" applyAlignment="1" applyProtection="1">
      <alignment horizontal="right" vertical="center" wrapText="1"/>
      <protection locked="0"/>
    </xf>
    <xf numFmtId="4" fontId="8" fillId="0" borderId="0" xfId="0" applyNumberFormat="1" applyFont="1" applyAlignment="1">
      <alignment wrapText="1"/>
    </xf>
    <xf numFmtId="4" fontId="8" fillId="0" borderId="0" xfId="0" applyNumberFormat="1" applyFont="1" applyAlignment="1" applyProtection="1">
      <alignment horizontal="right"/>
      <protection locked="0"/>
    </xf>
    <xf numFmtId="4" fontId="21" fillId="5" borderId="0" xfId="0" applyNumberFormat="1" applyFont="1" applyFill="1" applyAlignment="1">
      <alignment horizontal="right"/>
    </xf>
    <xf numFmtId="4" fontId="8" fillId="5" borderId="0" xfId="0" applyNumberFormat="1" applyFont="1" applyFill="1" applyAlignment="1">
      <alignment horizontal="right"/>
    </xf>
    <xf numFmtId="4" fontId="21" fillId="0" borderId="0" xfId="0" applyNumberFormat="1" applyFont="1" applyAlignment="1">
      <alignment horizontal="right"/>
    </xf>
    <xf numFmtId="4" fontId="8" fillId="0" borderId="0" xfId="0" applyNumberFormat="1" applyFont="1" applyAlignment="1" applyProtection="1">
      <alignment horizontal="right" wrapText="1"/>
      <protection locked="0"/>
    </xf>
    <xf numFmtId="4" fontId="21" fillId="5" borderId="0" xfId="0" applyNumberFormat="1" applyFont="1" applyFill="1" applyAlignment="1" applyProtection="1">
      <alignment horizontal="right"/>
      <protection locked="0"/>
    </xf>
    <xf numFmtId="4" fontId="21" fillId="5" borderId="0" xfId="0" applyNumberFormat="1" applyFont="1" applyFill="1" applyAlignment="1">
      <alignment horizontal="right" wrapText="1"/>
    </xf>
    <xf numFmtId="4" fontId="21" fillId="0" borderId="0" xfId="0" applyNumberFormat="1" applyFont="1" applyAlignment="1">
      <alignment horizontal="right" wrapText="1"/>
    </xf>
    <xf numFmtId="4" fontId="8" fillId="0" borderId="0" xfId="0" applyNumberFormat="1" applyFont="1" applyAlignment="1">
      <alignment horizontal="right" vertical="top"/>
    </xf>
    <xf numFmtId="0" fontId="8" fillId="5" borderId="0" xfId="0" applyFont="1" applyFill="1" applyAlignment="1">
      <alignment vertical="top"/>
    </xf>
    <xf numFmtId="0" fontId="8" fillId="5" borderId="0" xfId="0" applyFont="1" applyFill="1" applyAlignment="1">
      <alignment horizontal="center" vertical="top"/>
    </xf>
    <xf numFmtId="0" fontId="21" fillId="5" borderId="0" xfId="0" applyFont="1" applyFill="1" applyAlignment="1">
      <alignment vertical="top"/>
    </xf>
    <xf numFmtId="0" fontId="69" fillId="5" borderId="0" xfId="0" applyFont="1" applyFill="1" applyAlignment="1">
      <alignment vertical="top"/>
    </xf>
    <xf numFmtId="4" fontId="8" fillId="0" borderId="0" xfId="0" applyNumberFormat="1" applyFont="1" applyAlignment="1">
      <alignment vertical="top" wrapText="1"/>
    </xf>
    <xf numFmtId="4" fontId="8" fillId="5" borderId="0" xfId="0" applyNumberFormat="1" applyFont="1" applyFill="1" applyAlignment="1">
      <alignment vertical="top"/>
    </xf>
    <xf numFmtId="4" fontId="69" fillId="0" borderId="0" xfId="0" applyNumberFormat="1" applyFont="1" applyAlignment="1">
      <alignment vertical="top" wrapText="1"/>
    </xf>
    <xf numFmtId="49" fontId="8" fillId="5" borderId="0" xfId="4" applyNumberFormat="1" applyFont="1" applyFill="1" applyAlignment="1">
      <alignment horizontal="center" vertical="center" wrapText="1"/>
    </xf>
    <xf numFmtId="0" fontId="21" fillId="5" borderId="0" xfId="4" applyFont="1" applyFill="1" applyAlignment="1">
      <alignment vertical="center" wrapText="1"/>
    </xf>
    <xf numFmtId="0" fontId="8" fillId="5" borderId="0" xfId="4" applyFont="1" applyFill="1" applyAlignment="1">
      <alignment horizontal="left" vertical="top" wrapText="1"/>
    </xf>
    <xf numFmtId="0" fontId="8" fillId="5" borderId="0" xfId="4" applyFont="1" applyFill="1" applyAlignment="1">
      <alignment horizontal="right" vertical="top" wrapText="1"/>
    </xf>
    <xf numFmtId="4" fontId="8" fillId="5" borderId="0" xfId="4" applyNumberFormat="1" applyFont="1" applyFill="1" applyAlignment="1">
      <alignment horizontal="right" vertical="top" wrapText="1"/>
    </xf>
    <xf numFmtId="2" fontId="8" fillId="5" borderId="0" xfId="4" applyNumberFormat="1" applyFont="1" applyFill="1" applyAlignment="1">
      <alignment horizontal="right" vertical="top" wrapText="1"/>
    </xf>
    <xf numFmtId="0" fontId="21" fillId="5" borderId="0" xfId="4" applyFont="1" applyFill="1" applyAlignment="1">
      <alignment horizontal="right" vertical="top" wrapText="1"/>
    </xf>
    <xf numFmtId="4" fontId="104" fillId="0" borderId="0" xfId="0" applyNumberFormat="1" applyFont="1" applyAlignment="1">
      <alignment horizontal="right" vertical="top" wrapText="1"/>
    </xf>
  </cellXfs>
  <cellStyles count="5">
    <cellStyle name="Hypertextový odkaz" xfId="1" builtinId="8"/>
    <cellStyle name="Normální" xfId="0" builtinId="0"/>
    <cellStyle name="Normální 7" xfId="2" xr:uid="{00000000-0005-0000-0000-000002000000}"/>
    <cellStyle name="normální_C.1.3 Rozpočet ZTI" xfId="3" xr:uid="{00000000-0005-0000-0000-000003000000}"/>
    <cellStyle name="normální_Zadávací podklad pro profese"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8"/>
  <sheetViews>
    <sheetView topLeftCell="A4" workbookViewId="0">
      <selection activeCell="B3" sqref="B3"/>
    </sheetView>
  </sheetViews>
  <sheetFormatPr baseColWidth="10" defaultColWidth="8.83203125" defaultRowHeight="15"/>
  <cols>
    <col min="1" max="1" width="5.1640625" customWidth="1"/>
    <col min="2" max="2" width="13" customWidth="1"/>
    <col min="3" max="3" width="52.1640625" customWidth="1"/>
    <col min="4" max="4" width="6.5" customWidth="1"/>
    <col min="5" max="5" width="11.83203125" customWidth="1"/>
    <col min="6" max="6" width="12.5" customWidth="1"/>
  </cols>
  <sheetData>
    <row r="1" spans="1:5">
      <c r="B1" s="523"/>
      <c r="C1" s="524"/>
    </row>
    <row r="2" spans="1:5" ht="31.25" customHeight="1">
      <c r="B2" s="523"/>
      <c r="C2" s="634" t="s">
        <v>974</v>
      </c>
    </row>
    <row r="3" spans="1:5">
      <c r="B3" s="523"/>
      <c r="C3" s="152" t="s">
        <v>2578</v>
      </c>
    </row>
    <row r="4" spans="1:5">
      <c r="B4" s="523"/>
      <c r="C4" s="1"/>
    </row>
    <row r="5" spans="1:5">
      <c r="B5" s="523"/>
      <c r="C5" s="152"/>
    </row>
    <row r="6" spans="1:5">
      <c r="B6" s="523"/>
      <c r="C6" s="632" t="s">
        <v>948</v>
      </c>
    </row>
    <row r="7" spans="1:5">
      <c r="B7" s="523"/>
      <c r="C7" s="1" t="s">
        <v>975</v>
      </c>
    </row>
    <row r="8" spans="1:5">
      <c r="B8" s="523"/>
      <c r="C8" s="1"/>
    </row>
    <row r="9" spans="1:5">
      <c r="B9" s="523"/>
      <c r="C9" s="504"/>
    </row>
    <row r="10" spans="1:5">
      <c r="A10" s="635" t="s">
        <v>2669</v>
      </c>
      <c r="B10" s="534"/>
      <c r="C10" s="152" t="s">
        <v>2544</v>
      </c>
    </row>
    <row r="11" spans="1:5">
      <c r="A11" s="443" t="s">
        <v>976</v>
      </c>
      <c r="B11" s="636"/>
      <c r="C11" s="1" t="s">
        <v>44</v>
      </c>
    </row>
    <row r="12" spans="1:5">
      <c r="B12" s="523"/>
      <c r="C12" s="633"/>
    </row>
    <row r="13" spans="1:5">
      <c r="B13" s="523"/>
      <c r="C13" s="525"/>
    </row>
    <row r="14" spans="1:5">
      <c r="A14" s="590" t="s">
        <v>2653</v>
      </c>
      <c r="B14" s="612"/>
      <c r="C14" s="613" t="s">
        <v>2545</v>
      </c>
      <c r="D14" s="614" t="s">
        <v>2654</v>
      </c>
      <c r="E14" s="615" t="s">
        <v>2655</v>
      </c>
    </row>
    <row r="15" spans="1:5">
      <c r="A15" s="591"/>
      <c r="B15" s="11"/>
      <c r="C15" s="616" t="s">
        <v>2656</v>
      </c>
      <c r="D15" s="617" t="s">
        <v>2657</v>
      </c>
      <c r="E15" s="618"/>
    </row>
    <row r="16" spans="1:5">
      <c r="A16" s="593"/>
      <c r="B16" s="619"/>
      <c r="C16" s="620"/>
      <c r="D16" s="620"/>
      <c r="E16" s="621"/>
    </row>
    <row r="17" spans="1:6">
      <c r="A17" s="590" t="s">
        <v>2658</v>
      </c>
      <c r="B17" s="612"/>
      <c r="C17" s="622"/>
      <c r="D17" s="614" t="s">
        <v>2654</v>
      </c>
      <c r="E17" s="623"/>
    </row>
    <row r="18" spans="1:6">
      <c r="A18" s="594"/>
      <c r="B18" s="11"/>
      <c r="C18" s="624"/>
      <c r="D18" s="617" t="s">
        <v>2657</v>
      </c>
      <c r="E18" s="618"/>
    </row>
    <row r="19" spans="1:6">
      <c r="A19" s="598"/>
      <c r="B19" s="11"/>
      <c r="C19" s="624"/>
      <c r="D19" s="624"/>
      <c r="E19" s="618"/>
    </row>
    <row r="20" spans="1:6">
      <c r="A20" s="590" t="s">
        <v>2660</v>
      </c>
      <c r="B20" s="612"/>
      <c r="C20" s="630" t="s">
        <v>2667</v>
      </c>
      <c r="D20" s="622"/>
      <c r="E20" s="623"/>
    </row>
    <row r="21" spans="1:6">
      <c r="A21" s="598"/>
      <c r="B21" s="11"/>
      <c r="C21" s="478" t="s">
        <v>2668</v>
      </c>
      <c r="D21" s="624"/>
      <c r="E21" s="618"/>
    </row>
    <row r="22" spans="1:6">
      <c r="A22" s="595"/>
      <c r="B22" s="619"/>
      <c r="C22" s="631" t="s">
        <v>2546</v>
      </c>
      <c r="D22" s="620"/>
      <c r="E22" s="621"/>
    </row>
    <row r="23" spans="1:6">
      <c r="A23" s="599" t="s">
        <v>2659</v>
      </c>
      <c r="B23" s="11"/>
      <c r="C23" s="625"/>
      <c r="D23" s="617" t="s">
        <v>2654</v>
      </c>
      <c r="E23" s="626"/>
    </row>
    <row r="24" spans="1:6">
      <c r="A24" s="596"/>
      <c r="B24" s="11"/>
      <c r="C24" s="627"/>
      <c r="D24" s="617" t="s">
        <v>2657</v>
      </c>
      <c r="E24" s="628"/>
    </row>
    <row r="25" spans="1:6">
      <c r="A25" s="597"/>
      <c r="B25" s="619"/>
      <c r="C25" s="629"/>
      <c r="D25" s="620"/>
      <c r="E25" s="621"/>
    </row>
    <row r="26" spans="1:6">
      <c r="B26" s="523"/>
    </row>
    <row r="27" spans="1:6">
      <c r="B27" s="523"/>
    </row>
    <row r="28" spans="1:6">
      <c r="B28" s="523"/>
    </row>
    <row r="29" spans="1:6">
      <c r="B29" s="523"/>
    </row>
    <row r="30" spans="1:6" ht="19">
      <c r="B30" s="523"/>
      <c r="C30" s="609" t="s">
        <v>2663</v>
      </c>
      <c r="D30" s="604"/>
      <c r="E30" s="604"/>
      <c r="F30" s="604"/>
    </row>
    <row r="31" spans="1:6">
      <c r="B31" s="523"/>
      <c r="C31" s="608"/>
      <c r="D31" s="604"/>
      <c r="E31" s="604"/>
      <c r="F31" s="604"/>
    </row>
    <row r="32" spans="1:6" ht="16">
      <c r="B32" s="523"/>
      <c r="C32" s="610" t="s">
        <v>2664</v>
      </c>
      <c r="D32" s="605" t="s">
        <v>48</v>
      </c>
      <c r="E32" s="605" t="s">
        <v>60</v>
      </c>
      <c r="F32" s="611">
        <f>SSPDsVV!H39</f>
        <v>0</v>
      </c>
    </row>
    <row r="33" spans="1:6">
      <c r="B33" s="523"/>
      <c r="C33" s="443" t="s">
        <v>978</v>
      </c>
      <c r="D33" s="56" t="s">
        <v>48</v>
      </c>
      <c r="E33" s="607">
        <v>0.03</v>
      </c>
      <c r="F33" s="606">
        <f>F32*E33</f>
        <v>0</v>
      </c>
    </row>
    <row r="34" spans="1:6">
      <c r="B34" s="523"/>
      <c r="C34" s="443" t="s">
        <v>2665</v>
      </c>
      <c r="D34" s="605"/>
      <c r="E34" s="605"/>
      <c r="F34" s="606">
        <f>SUM(F32:F33)</f>
        <v>0</v>
      </c>
    </row>
    <row r="35" spans="1:6" ht="16">
      <c r="B35" s="523"/>
      <c r="C35" s="610" t="s">
        <v>50</v>
      </c>
      <c r="D35" s="605" t="s">
        <v>48</v>
      </c>
      <c r="E35" s="605"/>
      <c r="F35" s="611">
        <f>F34*0.21</f>
        <v>0</v>
      </c>
    </row>
    <row r="36" spans="1:6" ht="16">
      <c r="B36" s="523"/>
      <c r="C36" s="610" t="s">
        <v>2666</v>
      </c>
      <c r="D36" s="605" t="s">
        <v>48</v>
      </c>
      <c r="E36" s="605" t="s">
        <v>60</v>
      </c>
      <c r="F36" s="611">
        <f>SUM(F34:F35)</f>
        <v>0</v>
      </c>
    </row>
    <row r="37" spans="1:6">
      <c r="B37" s="523"/>
      <c r="C37" s="604"/>
      <c r="D37" s="605"/>
      <c r="E37" s="605"/>
      <c r="F37" s="606"/>
    </row>
    <row r="38" spans="1:6">
      <c r="B38" s="523"/>
      <c r="C38" s="604"/>
      <c r="D38" s="605"/>
      <c r="E38" s="605"/>
      <c r="F38" s="606"/>
    </row>
    <row r="39" spans="1:6">
      <c r="B39" s="523"/>
      <c r="C39" s="604"/>
      <c r="D39" s="605"/>
      <c r="E39" s="605"/>
      <c r="F39" s="606"/>
    </row>
    <row r="40" spans="1:6">
      <c r="B40" s="523"/>
      <c r="C40" s="604"/>
      <c r="D40" s="605"/>
      <c r="E40" s="605"/>
      <c r="F40" s="606"/>
    </row>
    <row r="41" spans="1:6">
      <c r="B41" s="523"/>
      <c r="C41" s="604"/>
      <c r="D41" s="605"/>
      <c r="E41" s="605"/>
      <c r="F41" s="606"/>
    </row>
    <row r="42" spans="1:6">
      <c r="A42" s="601"/>
      <c r="B42" s="600" t="s">
        <v>2671</v>
      </c>
      <c r="C42" s="637"/>
      <c r="D42" s="600" t="s">
        <v>2671</v>
      </c>
      <c r="E42" s="638"/>
      <c r="F42" s="639"/>
    </row>
    <row r="43" spans="1:6">
      <c r="A43" s="480"/>
      <c r="B43" s="480"/>
      <c r="C43" s="480"/>
      <c r="D43" s="488"/>
      <c r="E43" s="488"/>
      <c r="F43" s="488"/>
    </row>
    <row r="44" spans="1:6">
      <c r="A44" s="491"/>
      <c r="B44" s="592"/>
      <c r="C44" s="602"/>
      <c r="D44" s="602"/>
      <c r="E44" s="602"/>
      <c r="F44" s="602"/>
    </row>
    <row r="45" spans="1:6">
      <c r="A45" s="480"/>
      <c r="B45" s="592"/>
      <c r="C45" s="602"/>
      <c r="D45" s="602"/>
      <c r="E45" s="602"/>
      <c r="F45" s="602"/>
    </row>
    <row r="46" spans="1:6">
      <c r="A46" s="601"/>
      <c r="B46" s="603"/>
      <c r="C46" s="602"/>
      <c r="D46" s="602"/>
      <c r="E46" s="602"/>
      <c r="F46" s="602"/>
    </row>
    <row r="47" spans="1:6">
      <c r="A47" s="601"/>
      <c r="B47" s="640" t="s">
        <v>2670</v>
      </c>
      <c r="D47" s="506" t="s">
        <v>2670</v>
      </c>
      <c r="E47" s="638"/>
      <c r="F47" s="639"/>
    </row>
    <row r="48" spans="1:6">
      <c r="B48" t="s">
        <v>2661</v>
      </c>
      <c r="D48" s="601" t="s">
        <v>2662</v>
      </c>
    </row>
  </sheetData>
  <pageMargins left="0.51181102362204722" right="0.51181102362204722" top="0.59055118110236227" bottom="0.59055118110236227" header="0.31496062992125984" footer="0.31496062992125984"/>
  <pageSetup paperSize="9" scale="9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3:J825"/>
  <sheetViews>
    <sheetView topLeftCell="A65" zoomScaleNormal="100" workbookViewId="0">
      <selection activeCell="G67" sqref="G67"/>
    </sheetView>
  </sheetViews>
  <sheetFormatPr baseColWidth="10" defaultColWidth="8.83203125" defaultRowHeight="13"/>
  <cols>
    <col min="1" max="1" width="4.6640625" style="463" customWidth="1"/>
    <col min="2" max="2" width="7.83203125" style="402" customWidth="1"/>
    <col min="3" max="3" width="7" style="38" customWidth="1"/>
    <col min="4" max="4" width="68.33203125" style="441" customWidth="1"/>
    <col min="5" max="5" width="3.83203125" style="441" customWidth="1"/>
    <col min="6" max="6" width="7.1640625" style="51" customWidth="1"/>
    <col min="7" max="7" width="9.83203125" style="410" customWidth="1"/>
    <col min="8" max="8" width="10.5" style="464" customWidth="1"/>
    <col min="9" max="9" width="8.33203125" style="240" customWidth="1"/>
    <col min="10" max="16384" width="8.83203125" style="441"/>
  </cols>
  <sheetData>
    <row r="3" spans="1:8" ht="15">
      <c r="D3" s="78" t="s">
        <v>974</v>
      </c>
      <c r="E3" s="434"/>
      <c r="F3" s="435"/>
      <c r="G3" s="411"/>
      <c r="H3" s="58"/>
    </row>
    <row r="4" spans="1:8" ht="14">
      <c r="D4" s="53" t="s">
        <v>2577</v>
      </c>
      <c r="E4" s="434"/>
      <c r="F4" s="435"/>
      <c r="G4" s="411"/>
      <c r="H4" s="58"/>
    </row>
    <row r="5" spans="1:8">
      <c r="D5" s="53"/>
      <c r="E5" s="434"/>
      <c r="F5" s="435"/>
      <c r="G5" s="411"/>
      <c r="H5" s="58"/>
    </row>
    <row r="6" spans="1:8">
      <c r="D6" s="53"/>
      <c r="E6" s="434"/>
      <c r="F6" s="435"/>
      <c r="G6" s="411"/>
      <c r="H6" s="58"/>
    </row>
    <row r="7" spans="1:8" ht="15">
      <c r="B7"/>
      <c r="C7" s="523"/>
      <c r="D7" s="632" t="s">
        <v>948</v>
      </c>
      <c r="E7" s="434"/>
      <c r="F7" s="435"/>
      <c r="G7" s="411"/>
      <c r="H7" s="58"/>
    </row>
    <row r="8" spans="1:8" ht="15">
      <c r="B8"/>
      <c r="C8" s="523"/>
      <c r="D8" s="1" t="s">
        <v>975</v>
      </c>
      <c r="E8" s="434"/>
      <c r="F8" s="435"/>
      <c r="G8" s="411"/>
      <c r="H8" s="58"/>
    </row>
    <row r="9" spans="1:8" ht="15">
      <c r="B9"/>
      <c r="C9" s="523"/>
      <c r="D9" s="1"/>
      <c r="E9" s="434"/>
      <c r="F9" s="435"/>
      <c r="G9" s="411"/>
      <c r="H9" s="58"/>
    </row>
    <row r="10" spans="1:8" ht="15">
      <c r="B10"/>
      <c r="C10" s="523"/>
      <c r="D10" s="504"/>
      <c r="E10" s="434"/>
      <c r="F10" s="435"/>
      <c r="G10" s="411"/>
      <c r="H10" s="58"/>
    </row>
    <row r="11" spans="1:8" ht="14">
      <c r="A11" s="635" t="s">
        <v>2669</v>
      </c>
      <c r="B11" s="534"/>
      <c r="C11" s="441"/>
      <c r="D11" s="152" t="s">
        <v>2544</v>
      </c>
      <c r="E11" s="434"/>
      <c r="F11" s="435"/>
      <c r="G11" s="411"/>
      <c r="H11" s="58"/>
    </row>
    <row r="12" spans="1:8" ht="14">
      <c r="A12" s="443" t="s">
        <v>976</v>
      </c>
      <c r="B12" s="636"/>
      <c r="C12" s="441"/>
      <c r="D12" s="1" t="s">
        <v>44</v>
      </c>
      <c r="E12" s="434"/>
      <c r="F12" s="435"/>
      <c r="G12" s="411"/>
      <c r="H12" s="58"/>
    </row>
    <row r="13" spans="1:8">
      <c r="D13" s="54"/>
      <c r="E13" s="434"/>
      <c r="F13" s="435"/>
      <c r="G13" s="411"/>
      <c r="H13" s="58"/>
    </row>
    <row r="14" spans="1:8">
      <c r="D14" s="54"/>
      <c r="E14" s="434"/>
      <c r="F14" s="435"/>
      <c r="G14" s="411"/>
      <c r="H14" s="58"/>
    </row>
    <row r="15" spans="1:8" ht="14">
      <c r="D15" s="54" t="s">
        <v>949</v>
      </c>
      <c r="E15" s="434"/>
      <c r="F15" s="435"/>
      <c r="G15" s="411"/>
      <c r="H15" s="58"/>
    </row>
    <row r="16" spans="1:8">
      <c r="D16" s="54"/>
      <c r="E16" s="434"/>
      <c r="F16" s="435"/>
      <c r="G16" s="411"/>
      <c r="H16" s="58"/>
    </row>
    <row r="17" spans="1:8">
      <c r="D17" s="54"/>
      <c r="E17" s="434"/>
      <c r="F17" s="435"/>
      <c r="G17" s="411"/>
      <c r="H17" s="58"/>
    </row>
    <row r="18" spans="1:8" ht="14">
      <c r="D18" s="54" t="s">
        <v>47</v>
      </c>
      <c r="E18" s="434"/>
      <c r="F18" s="435"/>
      <c r="G18" s="411"/>
      <c r="H18" s="58"/>
    </row>
    <row r="19" spans="1:8">
      <c r="D19" s="54"/>
      <c r="E19" s="434"/>
      <c r="F19" s="435"/>
      <c r="G19" s="411"/>
      <c r="H19" s="58"/>
    </row>
    <row r="20" spans="1:8" ht="14">
      <c r="A20" s="463" t="s">
        <v>1090</v>
      </c>
      <c r="D20" s="56" t="s">
        <v>54</v>
      </c>
      <c r="E20" s="434" t="s">
        <v>48</v>
      </c>
      <c r="F20" s="435"/>
      <c r="G20" s="411"/>
      <c r="H20" s="58">
        <f>H60</f>
        <v>0</v>
      </c>
    </row>
    <row r="21" spans="1:8" ht="14">
      <c r="A21" s="463" t="s">
        <v>1091</v>
      </c>
      <c r="D21" s="57" t="s">
        <v>0</v>
      </c>
      <c r="E21" s="434" t="s">
        <v>48</v>
      </c>
      <c r="F21" s="435"/>
      <c r="G21" s="411"/>
      <c r="H21" s="58">
        <f>H64</f>
        <v>0</v>
      </c>
    </row>
    <row r="22" spans="1:8" ht="14">
      <c r="A22" s="463" t="s">
        <v>1092</v>
      </c>
      <c r="D22" s="57" t="s">
        <v>946</v>
      </c>
      <c r="E22" s="434" t="s">
        <v>48</v>
      </c>
      <c r="F22" s="435"/>
      <c r="G22" s="411"/>
      <c r="H22" s="58">
        <f>H174</f>
        <v>0</v>
      </c>
    </row>
    <row r="23" spans="1:8" ht="14">
      <c r="A23" s="463" t="s">
        <v>1093</v>
      </c>
      <c r="D23" s="57" t="s">
        <v>796</v>
      </c>
      <c r="E23" s="434" t="s">
        <v>48</v>
      </c>
      <c r="F23" s="435"/>
      <c r="G23" s="411"/>
      <c r="H23" s="58">
        <f>H428</f>
        <v>0</v>
      </c>
    </row>
    <row r="24" spans="1:8" ht="14">
      <c r="A24" s="463" t="s">
        <v>1094</v>
      </c>
      <c r="D24" s="57" t="s">
        <v>427</v>
      </c>
      <c r="E24" s="434" t="s">
        <v>48</v>
      </c>
      <c r="F24" s="435"/>
      <c r="G24" s="411"/>
      <c r="H24" s="58">
        <f>H488</f>
        <v>0</v>
      </c>
    </row>
    <row r="25" spans="1:8" ht="14">
      <c r="A25" s="463" t="s">
        <v>1095</v>
      </c>
      <c r="D25" s="57" t="s">
        <v>558</v>
      </c>
      <c r="E25" s="434" t="s">
        <v>48</v>
      </c>
      <c r="F25" s="435"/>
      <c r="G25" s="411"/>
      <c r="H25" s="58">
        <f>H616</f>
        <v>0</v>
      </c>
    </row>
    <row r="26" spans="1:8" ht="14">
      <c r="A26" s="463" t="s">
        <v>1096</v>
      </c>
      <c r="D26" s="57" t="s">
        <v>958</v>
      </c>
      <c r="E26" s="434" t="s">
        <v>48</v>
      </c>
      <c r="F26" s="435"/>
      <c r="G26" s="411"/>
      <c r="H26" s="58">
        <f>H706</f>
        <v>0</v>
      </c>
    </row>
    <row r="27" spans="1:8" ht="14">
      <c r="A27" s="463" t="s">
        <v>1097</v>
      </c>
      <c r="D27" s="57" t="s">
        <v>398</v>
      </c>
      <c r="E27" s="434" t="s">
        <v>48</v>
      </c>
      <c r="F27" s="435"/>
      <c r="G27" s="411"/>
      <c r="H27" s="58">
        <f>H801</f>
        <v>0</v>
      </c>
    </row>
    <row r="28" spans="1:8" ht="14">
      <c r="A28" s="463" t="s">
        <v>1098</v>
      </c>
      <c r="D28" s="57" t="s">
        <v>961</v>
      </c>
      <c r="E28" s="434" t="s">
        <v>48</v>
      </c>
      <c r="F28" s="435"/>
      <c r="G28" s="411"/>
      <c r="H28" s="58">
        <f>ZTI!H16</f>
        <v>0</v>
      </c>
    </row>
    <row r="29" spans="1:8" ht="14">
      <c r="A29" s="463" t="s">
        <v>1099</v>
      </c>
      <c r="D29" s="57" t="s">
        <v>968</v>
      </c>
      <c r="E29" s="434" t="s">
        <v>48</v>
      </c>
      <c r="F29" s="435"/>
      <c r="G29" s="411"/>
      <c r="H29" s="58">
        <f>'EL-silno'!G15</f>
        <v>0</v>
      </c>
    </row>
    <row r="30" spans="1:8" ht="14">
      <c r="A30" s="463" t="s">
        <v>1100</v>
      </c>
      <c r="D30" s="57" t="s">
        <v>969</v>
      </c>
      <c r="E30" s="434" t="s">
        <v>48</v>
      </c>
      <c r="F30" s="435"/>
      <c r="G30" s="411"/>
      <c r="H30" s="58">
        <f>'EL-osvětl'!G15</f>
        <v>0</v>
      </c>
    </row>
    <row r="31" spans="1:8" ht="14">
      <c r="A31" s="463" t="s">
        <v>1101</v>
      </c>
      <c r="D31" s="57" t="s">
        <v>962</v>
      </c>
      <c r="E31" s="434" t="s">
        <v>48</v>
      </c>
      <c r="F31" s="435"/>
      <c r="G31" s="411"/>
      <c r="H31" s="58">
        <f>VZT!G15</f>
        <v>0</v>
      </c>
    </row>
    <row r="32" spans="1:8" ht="14">
      <c r="A32" s="463" t="s">
        <v>1102</v>
      </c>
      <c r="D32" s="57" t="s">
        <v>966</v>
      </c>
      <c r="E32" s="434" t="s">
        <v>48</v>
      </c>
      <c r="F32" s="435"/>
      <c r="G32" s="411"/>
      <c r="H32" s="58">
        <f>'Výpisy prvků'!H15</f>
        <v>0</v>
      </c>
    </row>
    <row r="33" spans="1:9" ht="14">
      <c r="A33" s="463" t="s">
        <v>1103</v>
      </c>
      <c r="D33" s="57" t="s">
        <v>967</v>
      </c>
      <c r="E33" s="434" t="s">
        <v>48</v>
      </c>
      <c r="F33" s="435"/>
      <c r="G33" s="411"/>
      <c r="H33" s="58">
        <f>'Výpisy prvků'!H16</f>
        <v>0</v>
      </c>
    </row>
    <row r="34" spans="1:9" ht="14">
      <c r="A34" s="463" t="s">
        <v>1104</v>
      </c>
      <c r="D34" s="57" t="s">
        <v>964</v>
      </c>
      <c r="E34" s="434" t="s">
        <v>48</v>
      </c>
      <c r="F34" s="435"/>
      <c r="G34" s="411"/>
      <c r="H34" s="58">
        <f>'Výpisy prvků'!H17</f>
        <v>0</v>
      </c>
    </row>
    <row r="35" spans="1:9" ht="14">
      <c r="A35" s="463" t="s">
        <v>1105</v>
      </c>
      <c r="D35" s="57" t="s">
        <v>965</v>
      </c>
      <c r="E35" s="434" t="s">
        <v>48</v>
      </c>
      <c r="F35" s="435"/>
      <c r="G35" s="411"/>
      <c r="H35" s="58">
        <f>'Výpisy prvků'!H18</f>
        <v>0</v>
      </c>
    </row>
    <row r="36" spans="1:9" ht="14">
      <c r="A36" s="463" t="s">
        <v>1106</v>
      </c>
      <c r="D36" s="57" t="s">
        <v>963</v>
      </c>
      <c r="E36" s="434" t="s">
        <v>48</v>
      </c>
      <c r="F36" s="435"/>
      <c r="G36" s="411"/>
      <c r="H36" s="58">
        <f>'Výpisy prvků'!H19</f>
        <v>0</v>
      </c>
    </row>
    <row r="37" spans="1:9" ht="14">
      <c r="A37" s="463" t="s">
        <v>1107</v>
      </c>
      <c r="D37" s="57" t="s">
        <v>970</v>
      </c>
      <c r="E37" s="434" t="s">
        <v>48</v>
      </c>
      <c r="F37" s="435"/>
      <c r="G37" s="411"/>
      <c r="H37" s="58">
        <f>'Výpisy prvků'!H20</f>
        <v>0</v>
      </c>
    </row>
    <row r="38" spans="1:9">
      <c r="A38" s="463" t="s">
        <v>1108</v>
      </c>
      <c r="D38" s="56"/>
      <c r="E38" s="434"/>
      <c r="F38" s="435"/>
      <c r="G38" s="411"/>
      <c r="H38" s="58"/>
    </row>
    <row r="39" spans="1:9" ht="14">
      <c r="A39" s="463" t="s">
        <v>1109</v>
      </c>
      <c r="D39" s="54" t="s">
        <v>1413</v>
      </c>
      <c r="E39" s="436" t="s">
        <v>48</v>
      </c>
      <c r="F39" s="435"/>
      <c r="G39" s="411"/>
      <c r="H39" s="457">
        <f>SUM(H20:H38)</f>
        <v>0</v>
      </c>
    </row>
    <row r="40" spans="1:9">
      <c r="A40" s="463" t="s">
        <v>1110</v>
      </c>
      <c r="D40" s="56"/>
      <c r="E40" s="434"/>
      <c r="F40" s="435"/>
      <c r="G40" s="411"/>
      <c r="H40" s="458"/>
    </row>
    <row r="41" spans="1:9">
      <c r="A41" s="463" t="s">
        <v>1117</v>
      </c>
    </row>
    <row r="42" spans="1:9" s="582" customFormat="1" ht="39">
      <c r="A42" s="65" t="s">
        <v>52</v>
      </c>
      <c r="B42" s="437" t="s">
        <v>57</v>
      </c>
      <c r="C42" s="169" t="s">
        <v>58</v>
      </c>
      <c r="D42" s="66" t="s">
        <v>53</v>
      </c>
      <c r="E42" s="79" t="s">
        <v>63</v>
      </c>
      <c r="F42" s="67" t="s">
        <v>64</v>
      </c>
      <c r="G42" s="579" t="s">
        <v>65</v>
      </c>
      <c r="H42" s="580" t="s">
        <v>66</v>
      </c>
      <c r="I42" s="581" t="s">
        <v>801</v>
      </c>
    </row>
    <row r="43" spans="1:9" s="51" customFormat="1">
      <c r="A43" s="223" t="s">
        <v>1119</v>
      </c>
      <c r="B43" s="535"/>
      <c r="C43" s="277"/>
      <c r="D43" s="138" t="s">
        <v>2576</v>
      </c>
      <c r="E43" s="165"/>
      <c r="F43" s="417"/>
      <c r="G43" s="418"/>
      <c r="H43" s="446"/>
      <c r="I43" s="518"/>
    </row>
    <row r="44" spans="1:9" s="51" customFormat="1">
      <c r="A44" s="223" t="s">
        <v>1120</v>
      </c>
      <c r="B44" s="282"/>
      <c r="C44" s="138"/>
      <c r="D44" s="138" t="s">
        <v>984</v>
      </c>
      <c r="E44" s="165"/>
      <c r="F44" s="417"/>
      <c r="G44" s="418"/>
      <c r="H44" s="446"/>
      <c r="I44" s="518"/>
    </row>
    <row r="45" spans="1:9" s="51" customFormat="1">
      <c r="A45" s="223" t="s">
        <v>1415</v>
      </c>
      <c r="B45" s="282"/>
      <c r="C45" s="138"/>
      <c r="D45" s="138" t="s">
        <v>985</v>
      </c>
      <c r="E45" s="165"/>
      <c r="F45" s="417"/>
      <c r="G45" s="418"/>
      <c r="H45" s="446"/>
      <c r="I45" s="518"/>
    </row>
    <row r="46" spans="1:9" s="51" customFormat="1" ht="65">
      <c r="A46" s="223" t="s">
        <v>1416</v>
      </c>
      <c r="B46" s="282"/>
      <c r="C46" s="138"/>
      <c r="D46" s="138" t="s">
        <v>986</v>
      </c>
      <c r="E46" s="165"/>
      <c r="F46" s="417"/>
      <c r="G46" s="418"/>
      <c r="H46" s="446"/>
      <c r="I46" s="518"/>
    </row>
    <row r="47" spans="1:9" s="51" customFormat="1" ht="26">
      <c r="A47" s="223" t="s">
        <v>1417</v>
      </c>
      <c r="B47" s="282"/>
      <c r="C47" s="138"/>
      <c r="D47" s="314" t="s">
        <v>987</v>
      </c>
      <c r="E47" s="165"/>
      <c r="F47" s="417"/>
      <c r="G47" s="418"/>
      <c r="H47" s="446"/>
      <c r="I47" s="518"/>
    </row>
    <row r="48" spans="1:9" s="51" customFormat="1">
      <c r="A48" s="223" t="s">
        <v>1418</v>
      </c>
      <c r="B48" s="282"/>
      <c r="C48" s="138"/>
      <c r="D48" s="138" t="s">
        <v>988</v>
      </c>
      <c r="E48" s="165"/>
      <c r="F48" s="417"/>
      <c r="G48" s="418"/>
      <c r="H48" s="446"/>
      <c r="I48" s="518"/>
    </row>
    <row r="49" spans="1:10" s="51" customFormat="1" ht="52">
      <c r="A49" s="223" t="s">
        <v>1419</v>
      </c>
      <c r="B49" s="282"/>
      <c r="C49" s="138"/>
      <c r="D49" s="138" t="s">
        <v>989</v>
      </c>
      <c r="E49" s="165"/>
      <c r="F49" s="417"/>
      <c r="G49" s="418"/>
      <c r="H49" s="446"/>
      <c r="I49" s="518"/>
    </row>
    <row r="50" spans="1:10" s="51" customFormat="1">
      <c r="A50" s="223" t="s">
        <v>1420</v>
      </c>
      <c r="B50" s="282"/>
      <c r="C50" s="138"/>
      <c r="D50" s="138" t="s">
        <v>990</v>
      </c>
      <c r="E50" s="165"/>
      <c r="F50" s="417"/>
      <c r="G50" s="418"/>
      <c r="H50" s="446"/>
      <c r="I50" s="518"/>
    </row>
    <row r="51" spans="1:10" s="51" customFormat="1">
      <c r="A51" s="223" t="s">
        <v>1421</v>
      </c>
      <c r="B51" s="282"/>
      <c r="C51" s="138"/>
      <c r="D51" s="138" t="s">
        <v>991</v>
      </c>
      <c r="E51" s="165"/>
      <c r="F51" s="417"/>
      <c r="G51" s="418"/>
      <c r="H51" s="446"/>
      <c r="I51" s="518"/>
    </row>
    <row r="52" spans="1:10" s="51" customFormat="1" ht="26">
      <c r="A52" s="223" t="s">
        <v>1422</v>
      </c>
      <c r="B52" s="282"/>
      <c r="C52" s="138"/>
      <c r="D52" s="138" t="s">
        <v>2536</v>
      </c>
      <c r="E52" s="165"/>
      <c r="F52" s="417"/>
      <c r="G52" s="418"/>
      <c r="H52" s="446"/>
      <c r="I52" s="518"/>
    </row>
    <row r="53" spans="1:10" s="51" customFormat="1">
      <c r="A53" s="223" t="s">
        <v>1423</v>
      </c>
      <c r="B53" s="282"/>
      <c r="C53" s="138"/>
      <c r="D53" s="138" t="s">
        <v>2537</v>
      </c>
      <c r="E53" s="165"/>
      <c r="F53" s="417"/>
      <c r="G53" s="418"/>
      <c r="H53" s="446"/>
      <c r="I53" s="518"/>
    </row>
    <row r="54" spans="1:10" s="51" customFormat="1">
      <c r="A54" s="223" t="s">
        <v>1424</v>
      </c>
      <c r="B54" s="282"/>
      <c r="C54" s="138"/>
      <c r="D54" s="138" t="s">
        <v>2538</v>
      </c>
      <c r="E54" s="165"/>
      <c r="F54" s="417"/>
      <c r="G54" s="418"/>
      <c r="H54" s="446"/>
      <c r="I54" s="518"/>
    </row>
    <row r="55" spans="1:10" s="51" customFormat="1">
      <c r="A55" s="223" t="s">
        <v>1425</v>
      </c>
      <c r="B55" s="282"/>
      <c r="C55" s="138"/>
      <c r="D55" s="213" t="s">
        <v>2539</v>
      </c>
      <c r="E55" s="165"/>
      <c r="F55" s="417"/>
      <c r="G55" s="418"/>
      <c r="H55" s="446"/>
      <c r="I55" s="518"/>
    </row>
    <row r="56" spans="1:10" s="51" customFormat="1" ht="26">
      <c r="A56" s="223" t="s">
        <v>1426</v>
      </c>
      <c r="B56" s="282"/>
      <c r="C56" s="138"/>
      <c r="D56" s="213" t="s">
        <v>2540</v>
      </c>
      <c r="E56" s="165"/>
      <c r="F56" s="417"/>
      <c r="G56" s="418"/>
      <c r="H56" s="446"/>
      <c r="I56" s="518"/>
    </row>
    <row r="57" spans="1:10" s="51" customFormat="1">
      <c r="A57" s="223" t="s">
        <v>1427</v>
      </c>
      <c r="B57" s="282"/>
      <c r="C57" s="138"/>
      <c r="D57" s="138" t="s">
        <v>2541</v>
      </c>
      <c r="E57" s="165"/>
      <c r="F57" s="417"/>
      <c r="G57" s="418"/>
      <c r="H57" s="446"/>
      <c r="I57" s="518"/>
    </row>
    <row r="58" spans="1:10" s="51" customFormat="1">
      <c r="A58" s="223" t="s">
        <v>1428</v>
      </c>
      <c r="B58" s="282"/>
      <c r="C58" s="138"/>
      <c r="D58" s="138" t="s">
        <v>2542</v>
      </c>
      <c r="E58" s="165"/>
      <c r="F58" s="417"/>
      <c r="G58" s="418"/>
      <c r="H58" s="446"/>
      <c r="I58" s="518"/>
    </row>
    <row r="59" spans="1:10" s="51" customFormat="1">
      <c r="A59" s="223" t="s">
        <v>1429</v>
      </c>
      <c r="B59" s="282"/>
      <c r="C59" s="138"/>
      <c r="D59" s="138" t="s">
        <v>2543</v>
      </c>
      <c r="E59" s="165"/>
      <c r="F59" s="417"/>
      <c r="G59" s="418"/>
      <c r="H59" s="446"/>
      <c r="I59" s="518"/>
    </row>
    <row r="60" spans="1:10" ht="14">
      <c r="A60" s="223" t="s">
        <v>1430</v>
      </c>
      <c r="B60" s="641"/>
      <c r="C60" s="642"/>
      <c r="D60" s="643" t="s">
        <v>61</v>
      </c>
      <c r="E60" s="644" t="s">
        <v>59</v>
      </c>
      <c r="F60" s="645" t="s">
        <v>60</v>
      </c>
      <c r="G60" s="714"/>
      <c r="H60" s="714">
        <f>SUM(H61:H63)</f>
        <v>0</v>
      </c>
      <c r="I60" s="647">
        <f>SUM(I61:I63)</f>
        <v>25.194765</v>
      </c>
    </row>
    <row r="61" spans="1:10" ht="42">
      <c r="A61" s="223" t="s">
        <v>1431</v>
      </c>
      <c r="B61" s="438" t="s">
        <v>29</v>
      </c>
      <c r="C61" s="468"/>
      <c r="D61" s="2" t="s">
        <v>2197</v>
      </c>
      <c r="E61" s="11" t="s">
        <v>1</v>
      </c>
      <c r="F61" s="464">
        <v>30</v>
      </c>
      <c r="G61" s="511"/>
      <c r="H61" s="713">
        <f>F61*G61</f>
        <v>0</v>
      </c>
    </row>
    <row r="62" spans="1:10" ht="42">
      <c r="A62" s="223" t="s">
        <v>1432</v>
      </c>
      <c r="B62" s="438" t="s">
        <v>67</v>
      </c>
      <c r="C62" s="468"/>
      <c r="D62" s="2" t="s">
        <v>2198</v>
      </c>
      <c r="E62" s="11" t="s">
        <v>2</v>
      </c>
      <c r="F62" s="464">
        <f>18*28+15*8</f>
        <v>624</v>
      </c>
      <c r="G62" s="511"/>
      <c r="H62" s="713">
        <f>F62*G62</f>
        <v>0</v>
      </c>
      <c r="I62" s="240">
        <f>0.04*F62</f>
        <v>24.96</v>
      </c>
    </row>
    <row r="63" spans="1:10" ht="28">
      <c r="A63" s="223" t="s">
        <v>1433</v>
      </c>
      <c r="B63" s="438">
        <v>119001412</v>
      </c>
      <c r="C63" s="468"/>
      <c r="D63" s="2" t="s">
        <v>69</v>
      </c>
      <c r="E63" s="11" t="s">
        <v>2</v>
      </c>
      <c r="F63" s="410">
        <v>18.5</v>
      </c>
      <c r="G63" s="511"/>
      <c r="H63" s="713">
        <f>F63*G63</f>
        <v>0</v>
      </c>
      <c r="I63" s="240">
        <f>0.01269*F63</f>
        <v>0.234765</v>
      </c>
    </row>
    <row r="64" spans="1:10" ht="15">
      <c r="A64" s="223" t="s">
        <v>1434</v>
      </c>
      <c r="B64" s="641"/>
      <c r="C64" s="642"/>
      <c r="D64" s="648" t="s">
        <v>62</v>
      </c>
      <c r="E64" s="644" t="s">
        <v>59</v>
      </c>
      <c r="F64" s="645" t="s">
        <v>60</v>
      </c>
      <c r="G64" s="715"/>
      <c r="H64" s="714">
        <f>SUM(H65+H116)</f>
        <v>0</v>
      </c>
      <c r="I64" s="646">
        <f>SUM(I65:I115)+I116</f>
        <v>229.58768411280005</v>
      </c>
      <c r="J64" s="3"/>
    </row>
    <row r="65" spans="1:10">
      <c r="A65" s="223" t="s">
        <v>1435</v>
      </c>
      <c r="D65" s="469" t="s">
        <v>802</v>
      </c>
      <c r="E65" s="465" t="s">
        <v>59</v>
      </c>
      <c r="F65" s="466" t="s">
        <v>60</v>
      </c>
      <c r="G65" s="510"/>
      <c r="H65" s="716">
        <f>SUM(H66:H115)</f>
        <v>0</v>
      </c>
      <c r="I65" s="467">
        <f>SUM(I66:I115)</f>
        <v>14.850925306400001</v>
      </c>
      <c r="J65" s="3"/>
    </row>
    <row r="66" spans="1:10" ht="56">
      <c r="A66" s="223" t="s">
        <v>1436</v>
      </c>
      <c r="B66" s="438">
        <v>131251104</v>
      </c>
      <c r="C66" s="468"/>
      <c r="D66" s="7" t="s">
        <v>2643</v>
      </c>
      <c r="E66" s="3" t="s">
        <v>8</v>
      </c>
      <c r="F66" s="464">
        <f>(150+110)*2.41+3.768</f>
        <v>630.36800000000005</v>
      </c>
      <c r="G66" s="511"/>
      <c r="H66" s="717">
        <f>F66*G66</f>
        <v>0</v>
      </c>
      <c r="J66" s="3"/>
    </row>
    <row r="67" spans="1:10" ht="42">
      <c r="A67" s="223" t="s">
        <v>1437</v>
      </c>
      <c r="B67" s="439">
        <v>174151102</v>
      </c>
      <c r="C67" s="468"/>
      <c r="D67" s="2" t="s">
        <v>2644</v>
      </c>
      <c r="E67" s="3" t="s">
        <v>8</v>
      </c>
      <c r="F67" s="409">
        <f>150* 2.41+110* 2.41-(1.35*74.95)+3.768+4.428</f>
        <v>533.61350000000004</v>
      </c>
      <c r="G67" s="510"/>
      <c r="H67" s="510">
        <f>F67*G67</f>
        <v>0</v>
      </c>
      <c r="J67" s="3"/>
    </row>
    <row r="68" spans="1:10" ht="14">
      <c r="A68" s="223" t="s">
        <v>1438</v>
      </c>
      <c r="B68" s="440">
        <v>58337344</v>
      </c>
      <c r="C68" s="468"/>
      <c r="D68" s="2" t="s">
        <v>2647</v>
      </c>
      <c r="E68" s="441" t="s">
        <v>10</v>
      </c>
      <c r="F68" s="464">
        <f>F67*2.054</f>
        <v>1096.0421289999999</v>
      </c>
      <c r="G68" s="510"/>
      <c r="H68" s="713">
        <f>F68*G68</f>
        <v>0</v>
      </c>
      <c r="I68" s="410"/>
      <c r="J68" s="3"/>
    </row>
    <row r="69" spans="1:10" ht="28">
      <c r="A69" s="223" t="s">
        <v>1439</v>
      </c>
      <c r="B69" s="442"/>
      <c r="C69" s="468"/>
      <c r="D69" s="9" t="s">
        <v>2648</v>
      </c>
      <c r="F69" s="464"/>
      <c r="G69" s="510"/>
      <c r="H69" s="713"/>
      <c r="I69" s="410"/>
      <c r="J69" s="3"/>
    </row>
    <row r="70" spans="1:10" ht="28">
      <c r="A70" s="223" t="s">
        <v>1440</v>
      </c>
      <c r="B70" s="438" t="s">
        <v>73</v>
      </c>
      <c r="C70" s="468"/>
      <c r="D70" s="7" t="s">
        <v>81</v>
      </c>
      <c r="E70" s="441" t="s">
        <v>4</v>
      </c>
      <c r="F70" s="464">
        <v>125</v>
      </c>
      <c r="G70" s="511"/>
      <c r="H70" s="717">
        <f t="shared" ref="H70:H76" si="0">F70*G70</f>
        <v>0</v>
      </c>
      <c r="J70" s="3"/>
    </row>
    <row r="71" spans="1:10" ht="42">
      <c r="A71" s="223" t="s">
        <v>1441</v>
      </c>
      <c r="B71" s="439">
        <v>162751137</v>
      </c>
      <c r="C71" s="468"/>
      <c r="D71" s="7" t="s">
        <v>938</v>
      </c>
      <c r="E71" s="441" t="s">
        <v>8</v>
      </c>
      <c r="F71" s="464">
        <f>626.6+3.768+5.3405</f>
        <v>635.70850000000007</v>
      </c>
      <c r="G71" s="511"/>
      <c r="H71" s="717">
        <f t="shared" si="0"/>
        <v>0</v>
      </c>
      <c r="J71" s="3"/>
    </row>
    <row r="72" spans="1:10" ht="42">
      <c r="A72" s="223" t="s">
        <v>1442</v>
      </c>
      <c r="B72" s="439">
        <v>162751139</v>
      </c>
      <c r="C72" s="468"/>
      <c r="D72" s="7" t="s">
        <v>1412</v>
      </c>
      <c r="E72" s="441" t="s">
        <v>8</v>
      </c>
      <c r="F72" s="464">
        <f>F71</f>
        <v>635.70850000000007</v>
      </c>
      <c r="G72" s="511"/>
      <c r="H72" s="717">
        <f t="shared" si="0"/>
        <v>0</v>
      </c>
      <c r="J72" s="3"/>
    </row>
    <row r="73" spans="1:10" ht="42">
      <c r="A73" s="223" t="s">
        <v>1443</v>
      </c>
      <c r="B73" s="439">
        <v>997221873</v>
      </c>
      <c r="C73" s="468"/>
      <c r="D73" s="7" t="s">
        <v>2645</v>
      </c>
      <c r="E73" s="441" t="s">
        <v>10</v>
      </c>
      <c r="F73" s="464">
        <f>2.5*(F72)</f>
        <v>1589.2712500000002</v>
      </c>
      <c r="G73" s="511"/>
      <c r="H73" s="717">
        <f t="shared" si="0"/>
        <v>0</v>
      </c>
      <c r="J73" s="3"/>
    </row>
    <row r="74" spans="1:10" ht="14">
      <c r="A74" s="223" t="s">
        <v>1444</v>
      </c>
      <c r="B74" s="438" t="s">
        <v>35</v>
      </c>
      <c r="C74" s="468"/>
      <c r="D74" s="7" t="s">
        <v>92</v>
      </c>
      <c r="E74" s="441" t="s">
        <v>7</v>
      </c>
      <c r="F74" s="464">
        <v>10</v>
      </c>
      <c r="G74" s="511"/>
      <c r="H74" s="717">
        <f t="shared" si="0"/>
        <v>0</v>
      </c>
      <c r="J74" s="3"/>
    </row>
    <row r="75" spans="1:10" ht="28">
      <c r="A75" s="223" t="s">
        <v>1445</v>
      </c>
      <c r="B75" s="402">
        <v>10364100</v>
      </c>
      <c r="C75" s="468"/>
      <c r="D75" s="2" t="s">
        <v>2199</v>
      </c>
      <c r="E75" s="441" t="s">
        <v>10</v>
      </c>
      <c r="F75" s="51">
        <f>6.7*33.9*1.7</f>
        <v>386.12099999999998</v>
      </c>
      <c r="G75" s="510"/>
      <c r="H75" s="717">
        <f t="shared" si="0"/>
        <v>0</v>
      </c>
      <c r="J75" s="3"/>
    </row>
    <row r="76" spans="1:10">
      <c r="A76" s="223" t="s">
        <v>1446</v>
      </c>
      <c r="B76" s="402">
        <v>181951112</v>
      </c>
      <c r="C76" s="468"/>
      <c r="D76" s="3" t="s">
        <v>2200</v>
      </c>
      <c r="E76" s="441" t="s">
        <v>4</v>
      </c>
      <c r="F76" s="51">
        <f>24*30</f>
        <v>720</v>
      </c>
      <c r="G76" s="510"/>
      <c r="H76" s="717">
        <f t="shared" si="0"/>
        <v>0</v>
      </c>
      <c r="J76" s="3"/>
    </row>
    <row r="77" spans="1:10" ht="14">
      <c r="A77" s="223" t="s">
        <v>1447</v>
      </c>
      <c r="C77" s="468"/>
      <c r="D77" s="7" t="s">
        <v>16</v>
      </c>
      <c r="G77" s="510"/>
      <c r="H77" s="510"/>
      <c r="J77" s="3"/>
    </row>
    <row r="78" spans="1:10" ht="42">
      <c r="A78" s="223" t="s">
        <v>1448</v>
      </c>
      <c r="C78" s="468"/>
      <c r="D78" s="2" t="s">
        <v>2201</v>
      </c>
      <c r="E78" s="3" t="s">
        <v>8</v>
      </c>
      <c r="F78" s="51">
        <f>0.123*36+3.65*0.25</f>
        <v>5.3404999999999996</v>
      </c>
      <c r="G78" s="510"/>
      <c r="H78" s="510"/>
      <c r="J78" s="3"/>
    </row>
    <row r="79" spans="1:10" ht="28">
      <c r="A79" s="223" t="s">
        <v>1449</v>
      </c>
      <c r="B79" s="402" t="s">
        <v>84</v>
      </c>
      <c r="C79" s="468"/>
      <c r="D79" s="2" t="s">
        <v>2202</v>
      </c>
      <c r="E79" s="441" t="s">
        <v>2</v>
      </c>
      <c r="F79" s="51">
        <f>36.8+6.3*2+1</f>
        <v>50.4</v>
      </c>
      <c r="G79" s="510"/>
      <c r="H79" s="713">
        <f>F79*G79</f>
        <v>0</v>
      </c>
      <c r="I79" s="51">
        <f>0.20449*F79</f>
        <v>10.306296</v>
      </c>
      <c r="J79" s="3"/>
    </row>
    <row r="80" spans="1:10" ht="28">
      <c r="A80" s="223" t="s">
        <v>1450</v>
      </c>
      <c r="B80" s="402">
        <v>919726121</v>
      </c>
      <c r="C80" s="382"/>
      <c r="D80" s="2" t="s">
        <v>2203</v>
      </c>
      <c r="E80" s="441" t="s">
        <v>4</v>
      </c>
      <c r="F80" s="51">
        <f>0.5*50.4</f>
        <v>25.2</v>
      </c>
      <c r="G80" s="510"/>
      <c r="H80" s="713">
        <f>F80*G80</f>
        <v>0</v>
      </c>
      <c r="I80" s="51">
        <f>0.00036*F80</f>
        <v>9.0720000000000002E-3</v>
      </c>
      <c r="J80" s="3"/>
    </row>
    <row r="81" spans="1:10" ht="22">
      <c r="A81" s="223" t="s">
        <v>1451</v>
      </c>
      <c r="B81" s="403" t="s">
        <v>87</v>
      </c>
      <c r="C81" s="382"/>
      <c r="D81" s="2" t="s">
        <v>2204</v>
      </c>
      <c r="E81" s="441" t="s">
        <v>7</v>
      </c>
      <c r="F81" s="51">
        <v>2</v>
      </c>
      <c r="G81" s="510"/>
      <c r="H81" s="713">
        <f>F81*G81</f>
        <v>0</v>
      </c>
      <c r="I81" s="240">
        <f>0.006</f>
        <v>6.0000000000000001E-3</v>
      </c>
      <c r="J81" s="3"/>
    </row>
    <row r="82" spans="1:10">
      <c r="A82" s="223" t="s">
        <v>1452</v>
      </c>
      <c r="C82" s="468"/>
      <c r="D82" s="469" t="s">
        <v>17</v>
      </c>
      <c r="G82" s="510"/>
      <c r="H82" s="510"/>
      <c r="J82" s="3"/>
    </row>
    <row r="83" spans="1:10">
      <c r="A83" s="223" t="s">
        <v>1453</v>
      </c>
      <c r="B83" s="403"/>
      <c r="C83" s="468"/>
      <c r="D83" s="469" t="s">
        <v>93</v>
      </c>
      <c r="G83" s="510"/>
      <c r="H83" s="713"/>
      <c r="I83" s="51"/>
      <c r="J83" s="3"/>
    </row>
    <row r="84" spans="1:10" ht="70">
      <c r="A84" s="223" t="s">
        <v>1454</v>
      </c>
      <c r="C84" s="468"/>
      <c r="D84" s="2" t="s">
        <v>94</v>
      </c>
      <c r="G84" s="510"/>
      <c r="H84" s="510"/>
      <c r="J84" s="3"/>
    </row>
    <row r="85" spans="1:10" ht="42">
      <c r="A85" s="223" t="s">
        <v>1455</v>
      </c>
      <c r="C85" s="468"/>
      <c r="D85" s="2" t="s">
        <v>2480</v>
      </c>
      <c r="E85" s="3" t="s">
        <v>8</v>
      </c>
      <c r="F85" s="51">
        <f>3.14*1.2</f>
        <v>3.7679999999999998</v>
      </c>
      <c r="G85" s="510"/>
      <c r="H85" s="510"/>
      <c r="J85" s="3"/>
    </row>
    <row r="86" spans="1:10">
      <c r="A86" s="223" t="s">
        <v>1456</v>
      </c>
      <c r="B86" s="403"/>
      <c r="C86" s="468"/>
      <c r="D86" s="469" t="s">
        <v>96</v>
      </c>
      <c r="G86" s="510"/>
      <c r="H86" s="713"/>
      <c r="I86" s="51"/>
      <c r="J86" s="3"/>
    </row>
    <row r="87" spans="1:10" ht="14">
      <c r="A87" s="223" t="s">
        <v>1457</v>
      </c>
      <c r="B87" s="402">
        <v>174151101</v>
      </c>
      <c r="C87" s="468"/>
      <c r="D87" s="2" t="s">
        <v>2481</v>
      </c>
      <c r="E87" s="441" t="s">
        <v>8</v>
      </c>
      <c r="F87" s="407">
        <f>3.14*1.2</f>
        <v>3.7679999999999998</v>
      </c>
      <c r="G87" s="510"/>
      <c r="H87" s="713">
        <f>F87*G87</f>
        <v>0</v>
      </c>
      <c r="I87" s="407">
        <f>0*F87</f>
        <v>0</v>
      </c>
      <c r="J87" s="3"/>
    </row>
    <row r="88" spans="1:10" ht="14">
      <c r="A88" s="223" t="s">
        <v>1458</v>
      </c>
      <c r="B88" s="402" t="s">
        <v>937</v>
      </c>
      <c r="C88" s="468"/>
      <c r="D88" s="2" t="s">
        <v>2482</v>
      </c>
      <c r="E88" s="441" t="s">
        <v>10</v>
      </c>
      <c r="F88" s="407">
        <f>3.768*2.7</f>
        <v>10.1736</v>
      </c>
      <c r="G88" s="510"/>
      <c r="H88" s="713">
        <f>F88*G88</f>
        <v>0</v>
      </c>
      <c r="I88" s="510"/>
      <c r="J88" s="3"/>
    </row>
    <row r="89" spans="1:10" ht="14">
      <c r="A89" s="223" t="s">
        <v>1459</v>
      </c>
      <c r="B89" s="402">
        <v>919726121</v>
      </c>
      <c r="C89" s="468"/>
      <c r="D89" s="2" t="s">
        <v>2483</v>
      </c>
      <c r="E89" s="441" t="s">
        <v>4</v>
      </c>
      <c r="F89" s="407">
        <f>6.3*1.2+3.14</f>
        <v>10.7</v>
      </c>
      <c r="G89" s="510"/>
      <c r="H89" s="713">
        <f>F89*G89</f>
        <v>0</v>
      </c>
      <c r="I89" s="407">
        <f>0.00036*F89</f>
        <v>3.852E-3</v>
      </c>
      <c r="J89" s="3"/>
    </row>
    <row r="90" spans="1:10" ht="28">
      <c r="A90" s="223" t="s">
        <v>1460</v>
      </c>
      <c r="B90" s="403" t="s">
        <v>180</v>
      </c>
      <c r="C90" s="468"/>
      <c r="D90" s="2" t="s">
        <v>2484</v>
      </c>
      <c r="E90" s="441" t="s">
        <v>7</v>
      </c>
      <c r="F90" s="407">
        <v>2</v>
      </c>
      <c r="G90" s="510"/>
      <c r="H90" s="713">
        <f>F90*G90</f>
        <v>0</v>
      </c>
      <c r="I90" s="510">
        <v>0</v>
      </c>
      <c r="J90" s="3"/>
    </row>
    <row r="91" spans="1:10">
      <c r="A91" s="223" t="s">
        <v>1461</v>
      </c>
      <c r="C91" s="468"/>
      <c r="D91" s="469" t="s">
        <v>19</v>
      </c>
      <c r="G91" s="510"/>
      <c r="H91" s="510"/>
      <c r="J91" s="3"/>
    </row>
    <row r="92" spans="1:10">
      <c r="A92" s="223" t="s">
        <v>1462</v>
      </c>
      <c r="C92" s="468"/>
      <c r="D92" s="469" t="s">
        <v>2205</v>
      </c>
      <c r="G92" s="510"/>
      <c r="H92" s="510"/>
      <c r="J92" s="3"/>
    </row>
    <row r="93" spans="1:10" ht="168">
      <c r="A93" s="223" t="s">
        <v>1463</v>
      </c>
      <c r="C93" s="468"/>
      <c r="D93" s="2" t="s">
        <v>940</v>
      </c>
      <c r="G93" s="510"/>
      <c r="H93" s="510"/>
      <c r="J93" s="3"/>
    </row>
    <row r="94" spans="1:10" ht="14">
      <c r="A94" s="223" t="s">
        <v>1464</v>
      </c>
      <c r="B94" s="402">
        <v>919726126</v>
      </c>
      <c r="C94" s="468"/>
      <c r="D94" s="2" t="s">
        <v>2485</v>
      </c>
      <c r="E94" s="441" t="s">
        <v>4</v>
      </c>
      <c r="F94" s="51">
        <f>2.1*7.2</f>
        <v>15.120000000000001</v>
      </c>
      <c r="G94" s="510"/>
      <c r="H94" s="713">
        <f t="shared" ref="H94:H100" si="1">F94*G94</f>
        <v>0</v>
      </c>
      <c r="I94" s="51">
        <f>0.00146*F94</f>
        <v>2.20752E-2</v>
      </c>
      <c r="J94" s="3"/>
    </row>
    <row r="95" spans="1:10" ht="28">
      <c r="A95" s="223" t="s">
        <v>1465</v>
      </c>
      <c r="B95" s="403" t="s">
        <v>87</v>
      </c>
      <c r="C95" s="468"/>
      <c r="D95" s="2" t="s">
        <v>2486</v>
      </c>
      <c r="E95" s="441" t="s">
        <v>4</v>
      </c>
      <c r="F95" s="51">
        <f>F94</f>
        <v>15.120000000000001</v>
      </c>
      <c r="G95" s="510"/>
      <c r="H95" s="713">
        <f t="shared" si="1"/>
        <v>0</v>
      </c>
      <c r="I95" s="51">
        <f>0.005*F95</f>
        <v>7.5600000000000001E-2</v>
      </c>
      <c r="J95" s="3"/>
    </row>
    <row r="96" spans="1:10" ht="28">
      <c r="A96" s="223" t="s">
        <v>1466</v>
      </c>
      <c r="B96" s="403" t="s">
        <v>87</v>
      </c>
      <c r="C96" s="468"/>
      <c r="D96" s="2" t="s">
        <v>2487</v>
      </c>
      <c r="E96" s="441" t="s">
        <v>4</v>
      </c>
      <c r="F96" s="51">
        <f>F94</f>
        <v>15.120000000000001</v>
      </c>
      <c r="G96" s="510"/>
      <c r="H96" s="713">
        <f t="shared" si="1"/>
        <v>0</v>
      </c>
      <c r="I96" s="51">
        <f>0.00146*F96</f>
        <v>2.20752E-2</v>
      </c>
      <c r="J96" s="3"/>
    </row>
    <row r="97" spans="1:10" ht="22">
      <c r="A97" s="223" t="s">
        <v>1467</v>
      </c>
      <c r="B97" s="403" t="s">
        <v>87</v>
      </c>
      <c r="C97" s="468"/>
      <c r="D97" s="2" t="s">
        <v>2488</v>
      </c>
      <c r="E97" s="441" t="s">
        <v>2</v>
      </c>
      <c r="F97" s="51">
        <v>8</v>
      </c>
      <c r="G97" s="510"/>
      <c r="H97" s="713">
        <f t="shared" si="1"/>
        <v>0</v>
      </c>
      <c r="I97" s="51">
        <f>0.002*F97</f>
        <v>1.6E-2</v>
      </c>
      <c r="J97" s="3"/>
    </row>
    <row r="98" spans="1:10" ht="22">
      <c r="A98" s="223" t="s">
        <v>1468</v>
      </c>
      <c r="B98" s="403" t="s">
        <v>87</v>
      </c>
      <c r="C98" s="468"/>
      <c r="D98" s="2" t="s">
        <v>2489</v>
      </c>
      <c r="E98" s="441" t="s">
        <v>7</v>
      </c>
      <c r="F98" s="51">
        <v>1</v>
      </c>
      <c r="G98" s="510"/>
      <c r="H98" s="713">
        <f t="shared" si="1"/>
        <v>0</v>
      </c>
      <c r="I98" s="51">
        <f>0.002*F98</f>
        <v>2E-3</v>
      </c>
      <c r="J98" s="3"/>
    </row>
    <row r="99" spans="1:10" ht="14">
      <c r="A99" s="223" t="s">
        <v>1469</v>
      </c>
      <c r="B99" s="402">
        <v>271572211</v>
      </c>
      <c r="C99" s="468"/>
      <c r="D99" s="2" t="s">
        <v>2490</v>
      </c>
      <c r="E99" s="441" t="s">
        <v>8</v>
      </c>
      <c r="F99" s="51">
        <f>0.8*7.2*0.15</f>
        <v>0.8640000000000001</v>
      </c>
      <c r="G99" s="510"/>
      <c r="H99" s="713">
        <f t="shared" si="1"/>
        <v>0</v>
      </c>
      <c r="I99" s="51"/>
      <c r="J99" s="3"/>
    </row>
    <row r="100" spans="1:10" ht="28">
      <c r="A100" s="223" t="s">
        <v>1470</v>
      </c>
      <c r="C100" s="468"/>
      <c r="D100" s="2" t="s">
        <v>2491</v>
      </c>
      <c r="E100" s="441" t="s">
        <v>8</v>
      </c>
      <c r="F100" s="51">
        <f>5.65*1.1+2.32*1.95</f>
        <v>10.739000000000001</v>
      </c>
      <c r="G100" s="510"/>
      <c r="H100" s="713">
        <f t="shared" si="1"/>
        <v>0</v>
      </c>
      <c r="I100" s="51"/>
      <c r="J100" s="3"/>
    </row>
    <row r="101" spans="1:10" ht="28">
      <c r="A101" s="223" t="s">
        <v>1471</v>
      </c>
      <c r="B101" s="403" t="s">
        <v>87</v>
      </c>
      <c r="C101" s="468"/>
      <c r="D101" s="2" t="s">
        <v>2492</v>
      </c>
      <c r="E101" s="441" t="s">
        <v>7</v>
      </c>
      <c r="F101" s="51">
        <v>2</v>
      </c>
      <c r="G101" s="510"/>
      <c r="H101" s="713">
        <f>F101*G101</f>
        <v>0</v>
      </c>
      <c r="I101" s="51">
        <f>0.002*F101</f>
        <v>4.0000000000000001E-3</v>
      </c>
      <c r="J101" s="3"/>
    </row>
    <row r="102" spans="1:10" ht="56">
      <c r="A102" s="223" t="s">
        <v>1472</v>
      </c>
      <c r="B102" s="403" t="s">
        <v>87</v>
      </c>
      <c r="C102" s="468"/>
      <c r="D102" s="2" t="s">
        <v>2493</v>
      </c>
      <c r="E102" s="441" t="s">
        <v>7</v>
      </c>
      <c r="F102" s="51">
        <v>2</v>
      </c>
      <c r="G102" s="510"/>
      <c r="H102" s="713">
        <f>F102*G102</f>
        <v>0</v>
      </c>
      <c r="I102" s="51">
        <f>0.004 *F102</f>
        <v>8.0000000000000002E-3</v>
      </c>
      <c r="J102" s="3"/>
    </row>
    <row r="103" spans="1:10" ht="84">
      <c r="A103" s="223" t="s">
        <v>1473</v>
      </c>
      <c r="B103" s="403"/>
      <c r="C103" s="470" t="s">
        <v>102</v>
      </c>
      <c r="D103" s="2" t="s">
        <v>939</v>
      </c>
      <c r="G103" s="510"/>
      <c r="H103" s="510"/>
      <c r="J103" s="3"/>
    </row>
    <row r="104" spans="1:10" ht="98">
      <c r="A104" s="223" t="s">
        <v>1474</v>
      </c>
      <c r="B104" s="403" t="s">
        <v>87</v>
      </c>
      <c r="C104" s="468"/>
      <c r="D104" s="2" t="s">
        <v>2494</v>
      </c>
      <c r="E104" s="441" t="s">
        <v>8</v>
      </c>
      <c r="F104" s="51">
        <f>3.14*0.463*0.463*0.85</f>
        <v>0.57215086100000001</v>
      </c>
      <c r="G104" s="510"/>
      <c r="H104" s="510">
        <f>F104*G104</f>
        <v>0</v>
      </c>
      <c r="I104" s="240">
        <f>2.4*F104</f>
        <v>1.3731620663999999</v>
      </c>
      <c r="J104" s="3"/>
    </row>
    <row r="105" spans="1:10" ht="28">
      <c r="A105" s="223" t="s">
        <v>1475</v>
      </c>
      <c r="B105" s="403" t="s">
        <v>87</v>
      </c>
      <c r="C105" s="468"/>
      <c r="D105" s="2" t="s">
        <v>2495</v>
      </c>
      <c r="E105" s="441" t="s">
        <v>8</v>
      </c>
      <c r="F105" s="51">
        <f>3.14*1*0.75*0.14</f>
        <v>0.32970000000000005</v>
      </c>
      <c r="G105" s="510"/>
      <c r="H105" s="510">
        <f>F105*G105</f>
        <v>0</v>
      </c>
      <c r="I105" s="240">
        <f>2.4*F105</f>
        <v>0.79128000000000009</v>
      </c>
      <c r="J105" s="3"/>
    </row>
    <row r="106" spans="1:10" ht="28">
      <c r="A106" s="223" t="s">
        <v>1476</v>
      </c>
      <c r="B106" s="403" t="s">
        <v>87</v>
      </c>
      <c r="C106" s="468"/>
      <c r="D106" s="2" t="s">
        <v>2496</v>
      </c>
      <c r="E106" s="441" t="s">
        <v>7</v>
      </c>
      <c r="F106" s="51">
        <v>1</v>
      </c>
      <c r="G106" s="510"/>
      <c r="H106" s="510">
        <f t="shared" ref="H106:H111" si="2">F106*G106</f>
        <v>0</v>
      </c>
      <c r="I106" s="240">
        <f>0.025*F106</f>
        <v>2.5000000000000001E-2</v>
      </c>
      <c r="J106" s="3"/>
    </row>
    <row r="107" spans="1:10" ht="28">
      <c r="A107" s="223" t="s">
        <v>1477</v>
      </c>
      <c r="B107" s="403" t="s">
        <v>87</v>
      </c>
      <c r="C107" s="468"/>
      <c r="D107" s="2" t="s">
        <v>2497</v>
      </c>
      <c r="E107" s="441" t="s">
        <v>4</v>
      </c>
      <c r="F107" s="51">
        <f>3.14*1*0.75</f>
        <v>2.355</v>
      </c>
      <c r="G107" s="510"/>
      <c r="H107" s="510">
        <f t="shared" si="2"/>
        <v>0</v>
      </c>
      <c r="I107" s="240">
        <f>0.003*F107</f>
        <v>7.0650000000000001E-3</v>
      </c>
      <c r="J107" s="3"/>
    </row>
    <row r="108" spans="1:10" ht="28">
      <c r="A108" s="223" t="s">
        <v>1478</v>
      </c>
      <c r="B108" s="403" t="s">
        <v>87</v>
      </c>
      <c r="C108" s="468"/>
      <c r="D108" s="2" t="s">
        <v>2498</v>
      </c>
      <c r="E108" s="441" t="s">
        <v>2</v>
      </c>
      <c r="F108" s="51">
        <v>2</v>
      </c>
      <c r="G108" s="510"/>
      <c r="H108" s="510">
        <f t="shared" si="2"/>
        <v>0</v>
      </c>
      <c r="I108" s="240">
        <f>0.005*F108</f>
        <v>0.01</v>
      </c>
      <c r="J108" s="3"/>
    </row>
    <row r="109" spans="1:10" ht="28">
      <c r="A109" s="223" t="s">
        <v>1479</v>
      </c>
      <c r="B109" s="403" t="s">
        <v>87</v>
      </c>
      <c r="C109" s="468"/>
      <c r="D109" s="2" t="s">
        <v>2499</v>
      </c>
      <c r="E109" s="441" t="s">
        <v>7</v>
      </c>
      <c r="F109" s="51">
        <v>1</v>
      </c>
      <c r="G109" s="510"/>
      <c r="H109" s="510">
        <f t="shared" si="2"/>
        <v>0</v>
      </c>
      <c r="I109" s="240">
        <f>2.7*0.5*0.5*0.5</f>
        <v>0.33750000000000002</v>
      </c>
      <c r="J109" s="3"/>
    </row>
    <row r="110" spans="1:10" ht="28">
      <c r="A110" s="223" t="s">
        <v>1480</v>
      </c>
      <c r="B110" s="403" t="s">
        <v>87</v>
      </c>
      <c r="C110" s="468"/>
      <c r="D110" s="2" t="s">
        <v>2500</v>
      </c>
      <c r="E110" s="441" t="s">
        <v>8</v>
      </c>
      <c r="F110" s="51">
        <f>3.14*0.46*0.46*0.9</f>
        <v>0.59798160000000011</v>
      </c>
      <c r="G110" s="510"/>
      <c r="H110" s="510">
        <f t="shared" si="2"/>
        <v>0</v>
      </c>
      <c r="I110" s="240">
        <f>2.4*F110</f>
        <v>1.4351558400000002</v>
      </c>
      <c r="J110" s="3"/>
    </row>
    <row r="111" spans="1:10" ht="28">
      <c r="A111" s="223" t="s">
        <v>1481</v>
      </c>
      <c r="B111" s="403" t="s">
        <v>106</v>
      </c>
      <c r="C111" s="468"/>
      <c r="D111" s="2" t="s">
        <v>28</v>
      </c>
      <c r="E111" s="441" t="s">
        <v>4</v>
      </c>
      <c r="F111" s="51">
        <f>5.4*0.4</f>
        <v>2.16</v>
      </c>
      <c r="G111" s="510"/>
      <c r="H111" s="510">
        <f t="shared" si="2"/>
        <v>0</v>
      </c>
      <c r="I111" s="240">
        <f>0.1837*F111</f>
        <v>0.39679200000000003</v>
      </c>
      <c r="J111" s="3"/>
    </row>
    <row r="112" spans="1:10" ht="14">
      <c r="A112" s="223" t="s">
        <v>1482</v>
      </c>
      <c r="B112" s="663"/>
      <c r="C112" s="649"/>
      <c r="D112" s="650" t="s">
        <v>2672</v>
      </c>
      <c r="E112" s="651"/>
      <c r="F112" s="652"/>
      <c r="G112" s="653"/>
      <c r="H112" s="653"/>
      <c r="I112" s="655"/>
      <c r="J112" s="3"/>
    </row>
    <row r="113" spans="1:10">
      <c r="A113" s="223" t="s">
        <v>1483</v>
      </c>
      <c r="C113" s="468"/>
      <c r="D113" s="11" t="s">
        <v>30</v>
      </c>
      <c r="E113" s="443" t="s">
        <v>1</v>
      </c>
      <c r="F113" s="407">
        <v>48</v>
      </c>
      <c r="G113" s="510"/>
      <c r="H113" s="510">
        <f>F113*G113</f>
        <v>0</v>
      </c>
      <c r="I113" s="511"/>
      <c r="J113" s="3"/>
    </row>
    <row r="114" spans="1:10" ht="14">
      <c r="A114" s="223" t="s">
        <v>1484</v>
      </c>
      <c r="B114" s="403"/>
      <c r="C114" s="468"/>
      <c r="D114" s="13" t="s">
        <v>31</v>
      </c>
      <c r="E114" s="56" t="s">
        <v>7</v>
      </c>
      <c r="F114" s="435">
        <v>1</v>
      </c>
      <c r="G114" s="511"/>
      <c r="H114" s="511">
        <f>F114*G114</f>
        <v>0</v>
      </c>
      <c r="I114" s="511"/>
      <c r="J114" s="3"/>
    </row>
    <row r="115" spans="1:10" ht="14">
      <c r="A115" s="223" t="s">
        <v>1485</v>
      </c>
      <c r="B115" s="403"/>
      <c r="C115" s="468"/>
      <c r="D115" s="13" t="s">
        <v>32</v>
      </c>
      <c r="E115" s="56" t="s">
        <v>7</v>
      </c>
      <c r="F115" s="512">
        <v>1</v>
      </c>
      <c r="G115" s="511"/>
      <c r="H115" s="511">
        <f>F115*G115</f>
        <v>0</v>
      </c>
      <c r="I115" s="511"/>
      <c r="J115" s="3"/>
    </row>
    <row r="116" spans="1:10" ht="29">
      <c r="A116" s="223" t="s">
        <v>1486</v>
      </c>
      <c r="B116" s="641"/>
      <c r="C116" s="664"/>
      <c r="D116" s="665" t="s">
        <v>2206</v>
      </c>
      <c r="E116" s="644" t="s">
        <v>48</v>
      </c>
      <c r="F116" s="645" t="s">
        <v>60</v>
      </c>
      <c r="G116" s="715"/>
      <c r="H116" s="718">
        <f>SUM(H117:H172)</f>
        <v>0</v>
      </c>
      <c r="I116" s="666">
        <f>SUM(I120:I172)</f>
        <v>199.88583350000005</v>
      </c>
      <c r="J116" s="3"/>
    </row>
    <row r="117" spans="1:10" ht="56">
      <c r="A117" s="223" t="s">
        <v>1487</v>
      </c>
      <c r="B117" s="438">
        <v>131251104</v>
      </c>
      <c r="C117" s="468"/>
      <c r="D117" s="7" t="s">
        <v>2646</v>
      </c>
      <c r="E117" s="441" t="s">
        <v>8</v>
      </c>
      <c r="F117" s="464">
        <f>165*2.41+117*1.6</f>
        <v>584.85</v>
      </c>
      <c r="G117" s="510"/>
      <c r="H117" s="510">
        <f t="shared" ref="H117:H123" si="3">F117*G117</f>
        <v>0</v>
      </c>
      <c r="J117" s="3"/>
    </row>
    <row r="118" spans="1:10" ht="28">
      <c r="A118" s="223" t="s">
        <v>1488</v>
      </c>
      <c r="B118" s="438">
        <v>174151102</v>
      </c>
      <c r="C118" s="471" t="s">
        <v>9</v>
      </c>
      <c r="D118" s="2" t="s">
        <v>2649</v>
      </c>
      <c r="E118" s="441" t="s">
        <v>8</v>
      </c>
      <c r="F118" s="464">
        <f>585</f>
        <v>585</v>
      </c>
      <c r="G118" s="511"/>
      <c r="H118" s="713">
        <f t="shared" si="3"/>
        <v>0</v>
      </c>
      <c r="J118" s="3"/>
    </row>
    <row r="119" spans="1:10" ht="28">
      <c r="A119" s="223" t="s">
        <v>1489</v>
      </c>
      <c r="B119" s="472">
        <v>1627511108</v>
      </c>
      <c r="C119" s="468"/>
      <c r="D119" s="2" t="s">
        <v>2650</v>
      </c>
      <c r="E119" s="441" t="s">
        <v>8</v>
      </c>
      <c r="F119" s="464">
        <f>F117+F118</f>
        <v>1169.8499999999999</v>
      </c>
      <c r="G119" s="510"/>
      <c r="H119" s="510">
        <f t="shared" si="3"/>
        <v>0</v>
      </c>
      <c r="J119" s="3"/>
    </row>
    <row r="120" spans="1:10" ht="98">
      <c r="A120" s="223" t="s">
        <v>1490</v>
      </c>
      <c r="D120" s="2" t="s">
        <v>2501</v>
      </c>
      <c r="E120" s="441" t="s">
        <v>4</v>
      </c>
      <c r="F120" s="51">
        <v>108</v>
      </c>
      <c r="G120" s="510"/>
      <c r="H120" s="510">
        <f t="shared" si="3"/>
        <v>0</v>
      </c>
      <c r="J120" s="3"/>
    </row>
    <row r="121" spans="1:10" ht="84">
      <c r="A121" s="223" t="s">
        <v>1491</v>
      </c>
      <c r="D121" s="2" t="s">
        <v>2502</v>
      </c>
      <c r="E121" s="441" t="s">
        <v>4</v>
      </c>
      <c r="F121" s="51">
        <v>108</v>
      </c>
      <c r="G121" s="510"/>
      <c r="H121" s="510">
        <f t="shared" si="3"/>
        <v>0</v>
      </c>
      <c r="J121" s="3"/>
    </row>
    <row r="122" spans="1:10" ht="42">
      <c r="A122" s="223" t="s">
        <v>1492</v>
      </c>
      <c r="D122" s="2" t="s">
        <v>2503</v>
      </c>
      <c r="E122" s="441" t="s">
        <v>4</v>
      </c>
      <c r="F122" s="51">
        <v>235</v>
      </c>
      <c r="G122" s="510"/>
      <c r="H122" s="510">
        <f t="shared" si="3"/>
        <v>0</v>
      </c>
      <c r="J122" s="3"/>
    </row>
    <row r="123" spans="1:10" ht="126">
      <c r="A123" s="223" t="s">
        <v>1493</v>
      </c>
      <c r="D123" s="2" t="s">
        <v>2504</v>
      </c>
      <c r="E123" s="441" t="s">
        <v>7</v>
      </c>
      <c r="F123" s="51">
        <v>15</v>
      </c>
      <c r="G123" s="510"/>
      <c r="H123" s="510">
        <f t="shared" si="3"/>
        <v>0</v>
      </c>
      <c r="J123" s="3"/>
    </row>
    <row r="124" spans="1:10" ht="140">
      <c r="A124" s="223" t="s">
        <v>1494</v>
      </c>
      <c r="D124" s="2" t="s">
        <v>2505</v>
      </c>
      <c r="E124" s="441" t="s">
        <v>7</v>
      </c>
      <c r="F124" s="51">
        <v>15</v>
      </c>
      <c r="G124" s="510"/>
      <c r="H124" s="510">
        <f>H123</f>
        <v>0</v>
      </c>
      <c r="J124" s="3"/>
    </row>
    <row r="125" spans="1:10">
      <c r="A125" s="223" t="s">
        <v>1495</v>
      </c>
      <c r="B125" s="472"/>
      <c r="C125" s="468"/>
      <c r="D125" s="469" t="s">
        <v>108</v>
      </c>
      <c r="G125" s="510"/>
      <c r="H125" s="717"/>
      <c r="J125" s="3"/>
    </row>
    <row r="126" spans="1:10" ht="20">
      <c r="A126" s="223" t="s">
        <v>1496</v>
      </c>
      <c r="B126" s="473" t="s">
        <v>36</v>
      </c>
      <c r="C126" s="468"/>
      <c r="D126" s="474" t="s">
        <v>2506</v>
      </c>
      <c r="E126" s="441" t="s">
        <v>4</v>
      </c>
      <c r="F126" s="51">
        <v>52.95</v>
      </c>
      <c r="G126" s="510"/>
      <c r="H126" s="717">
        <f>F126*G126</f>
        <v>0</v>
      </c>
      <c r="I126" s="240">
        <f>0.381*F126</f>
        <v>20.173950000000001</v>
      </c>
      <c r="J126" s="3"/>
    </row>
    <row r="127" spans="1:10" ht="28">
      <c r="A127" s="223" t="s">
        <v>1497</v>
      </c>
      <c r="B127" s="475"/>
      <c r="C127" s="468"/>
      <c r="D127" s="2" t="s">
        <v>110</v>
      </c>
      <c r="G127" s="510"/>
      <c r="H127" s="510"/>
      <c r="J127" s="3"/>
    </row>
    <row r="128" spans="1:10" ht="28">
      <c r="A128" s="223" t="s">
        <v>1498</v>
      </c>
      <c r="B128" s="473" t="s">
        <v>111</v>
      </c>
      <c r="C128" s="468"/>
      <c r="D128" s="2" t="s">
        <v>2507</v>
      </c>
      <c r="E128" s="441" t="s">
        <v>4</v>
      </c>
      <c r="F128" s="51">
        <f>F126</f>
        <v>52.95</v>
      </c>
      <c r="G128" s="510"/>
      <c r="H128" s="717">
        <f>F128*G128</f>
        <v>0</v>
      </c>
      <c r="I128" s="240">
        <f>0.445*F128</f>
        <v>23.562750000000001</v>
      </c>
      <c r="J128" s="3"/>
    </row>
    <row r="129" spans="1:10">
      <c r="A129" s="223" t="s">
        <v>1499</v>
      </c>
      <c r="C129" s="468"/>
      <c r="D129" s="3" t="s">
        <v>2508</v>
      </c>
      <c r="E129" s="441" t="s">
        <v>4</v>
      </c>
      <c r="F129" s="51">
        <f>F126</f>
        <v>52.95</v>
      </c>
      <c r="G129" s="510"/>
      <c r="H129" s="717">
        <f>F129*G129</f>
        <v>0</v>
      </c>
      <c r="I129" s="240">
        <f>0.0005*F129</f>
        <v>2.6475000000000002E-2</v>
      </c>
      <c r="J129" s="3"/>
    </row>
    <row r="130" spans="1:10" ht="28">
      <c r="A130" s="223" t="s">
        <v>1500</v>
      </c>
      <c r="B130" s="476">
        <v>919726203</v>
      </c>
      <c r="C130" s="468"/>
      <c r="D130" s="2" t="s">
        <v>2207</v>
      </c>
      <c r="E130" s="441" t="s">
        <v>4</v>
      </c>
      <c r="F130" s="51">
        <v>52.95</v>
      </c>
      <c r="G130" s="510"/>
      <c r="H130" s="717">
        <f>F130*G130</f>
        <v>0</v>
      </c>
      <c r="I130" s="240">
        <f>0.00048*F130</f>
        <v>2.5416000000000001E-2</v>
      </c>
      <c r="J130" s="3"/>
    </row>
    <row r="131" spans="1:10">
      <c r="A131" s="223" t="s">
        <v>1501</v>
      </c>
      <c r="C131" s="468"/>
      <c r="D131" s="469" t="s">
        <v>115</v>
      </c>
      <c r="G131" s="510"/>
      <c r="H131" s="510"/>
      <c r="J131" s="3"/>
    </row>
    <row r="132" spans="1:10" ht="20">
      <c r="A132" s="223" t="s">
        <v>1502</v>
      </c>
      <c r="B132" s="473" t="s">
        <v>37</v>
      </c>
      <c r="C132" s="468"/>
      <c r="D132" s="477" t="s">
        <v>2509</v>
      </c>
      <c r="E132" s="441" t="s">
        <v>4</v>
      </c>
      <c r="F132" s="51">
        <v>40.5</v>
      </c>
      <c r="G132" s="510"/>
      <c r="H132" s="717">
        <f>F132*G132</f>
        <v>0</v>
      </c>
      <c r="I132" s="240">
        <f>0.335*F132</f>
        <v>13.567500000000001</v>
      </c>
      <c r="J132" s="3"/>
    </row>
    <row r="133" spans="1:10" ht="28">
      <c r="A133" s="223" t="s">
        <v>1503</v>
      </c>
      <c r="C133" s="468"/>
      <c r="D133" s="2" t="s">
        <v>117</v>
      </c>
      <c r="G133" s="510"/>
      <c r="H133" s="510"/>
      <c r="J133" s="3"/>
    </row>
    <row r="134" spans="1:10" ht="20">
      <c r="A134" s="223" t="s">
        <v>1504</v>
      </c>
      <c r="B134" s="473" t="s">
        <v>118</v>
      </c>
      <c r="C134" s="468"/>
      <c r="D134" s="478" t="s">
        <v>2510</v>
      </c>
      <c r="E134" s="441" t="s">
        <v>4</v>
      </c>
      <c r="F134" s="51">
        <v>40.5</v>
      </c>
      <c r="G134" s="510"/>
      <c r="H134" s="717">
        <f>F134*G134</f>
        <v>0</v>
      </c>
      <c r="I134" s="240">
        <f>0.637*F134</f>
        <v>25.798500000000001</v>
      </c>
      <c r="J134" s="3"/>
    </row>
    <row r="135" spans="1:10">
      <c r="A135" s="223" t="s">
        <v>1505</v>
      </c>
      <c r="C135" s="468"/>
      <c r="D135" s="3" t="s">
        <v>2513</v>
      </c>
      <c r="G135" s="510"/>
      <c r="H135" s="510"/>
      <c r="J135" s="3"/>
    </row>
    <row r="136" spans="1:10">
      <c r="A136" s="223" t="s">
        <v>1506</v>
      </c>
      <c r="C136" s="468"/>
      <c r="D136" s="3" t="s">
        <v>34</v>
      </c>
      <c r="G136" s="510"/>
      <c r="H136" s="510"/>
      <c r="J136" s="3"/>
    </row>
    <row r="137" spans="1:10">
      <c r="A137" s="223" t="s">
        <v>1507</v>
      </c>
      <c r="B137" s="476" t="s">
        <v>120</v>
      </c>
      <c r="C137" s="468"/>
      <c r="D137" s="3" t="s">
        <v>2511</v>
      </c>
      <c r="E137" s="441" t="s">
        <v>4</v>
      </c>
      <c r="F137" s="51">
        <v>40.5</v>
      </c>
      <c r="G137" s="510"/>
      <c r="H137" s="717">
        <f>F137*G137</f>
        <v>0</v>
      </c>
      <c r="I137" s="240">
        <f>0.0005*F137</f>
        <v>2.0250000000000001E-2</v>
      </c>
      <c r="J137" s="3"/>
    </row>
    <row r="138" spans="1:10" ht="28">
      <c r="A138" s="223" t="s">
        <v>1508</v>
      </c>
      <c r="C138" s="468"/>
      <c r="D138" s="2" t="s">
        <v>2514</v>
      </c>
      <c r="E138" s="441" t="s">
        <v>4</v>
      </c>
      <c r="F138" s="51">
        <v>40.5</v>
      </c>
      <c r="G138" s="510"/>
      <c r="H138" s="717">
        <f>F138*G138</f>
        <v>0</v>
      </c>
      <c r="I138" s="240">
        <f>0.00048*F138</f>
        <v>1.9439999999999999E-2</v>
      </c>
      <c r="J138" s="3"/>
    </row>
    <row r="139" spans="1:10">
      <c r="A139" s="223" t="s">
        <v>1509</v>
      </c>
      <c r="C139" s="468"/>
      <c r="D139" s="469" t="s">
        <v>122</v>
      </c>
      <c r="G139" s="510"/>
      <c r="H139" s="510"/>
      <c r="J139" s="3"/>
    </row>
    <row r="140" spans="1:10" ht="20">
      <c r="A140" s="223" t="s">
        <v>1510</v>
      </c>
      <c r="B140" s="473" t="s">
        <v>37</v>
      </c>
      <c r="C140" s="468"/>
      <c r="D140" s="465" t="s">
        <v>2512</v>
      </c>
      <c r="E140" s="441" t="s">
        <v>4</v>
      </c>
      <c r="F140" s="51">
        <v>20.9</v>
      </c>
      <c r="G140" s="510"/>
      <c r="H140" s="717">
        <f>F140*G140</f>
        <v>0</v>
      </c>
      <c r="I140" s="240">
        <f>0.335*F140</f>
        <v>7.0015000000000001</v>
      </c>
      <c r="J140" s="3"/>
    </row>
    <row r="141" spans="1:10" ht="28">
      <c r="A141" s="223" t="s">
        <v>1511</v>
      </c>
      <c r="C141" s="468"/>
      <c r="D141" s="2" t="s">
        <v>124</v>
      </c>
      <c r="G141" s="510"/>
      <c r="H141" s="510"/>
      <c r="J141" s="3"/>
    </row>
    <row r="142" spans="1:10" ht="20">
      <c r="A142" s="223" t="s">
        <v>1512</v>
      </c>
      <c r="B142" s="473" t="s">
        <v>118</v>
      </c>
      <c r="C142" s="468"/>
      <c r="D142" s="478" t="s">
        <v>2510</v>
      </c>
      <c r="E142" s="441" t="s">
        <v>4</v>
      </c>
      <c r="F142" s="51">
        <v>20.5</v>
      </c>
      <c r="G142" s="510"/>
      <c r="H142" s="717">
        <f>F142*G142</f>
        <v>0</v>
      </c>
      <c r="I142" s="240">
        <f>0.637*F142</f>
        <v>13.0585</v>
      </c>
      <c r="J142" s="3"/>
    </row>
    <row r="143" spans="1:10">
      <c r="A143" s="223" t="s">
        <v>1513</v>
      </c>
      <c r="C143" s="468"/>
      <c r="D143" s="3" t="s">
        <v>33</v>
      </c>
      <c r="G143" s="510"/>
      <c r="H143" s="510"/>
      <c r="J143" s="3"/>
    </row>
    <row r="144" spans="1:10">
      <c r="A144" s="223" t="s">
        <v>1514</v>
      </c>
      <c r="C144" s="468"/>
      <c r="D144" s="3" t="s">
        <v>34</v>
      </c>
      <c r="G144" s="510"/>
      <c r="H144" s="510"/>
      <c r="J144" s="3"/>
    </row>
    <row r="145" spans="1:10">
      <c r="A145" s="223" t="s">
        <v>1515</v>
      </c>
      <c r="C145" s="468"/>
      <c r="D145" s="3" t="s">
        <v>2511</v>
      </c>
      <c r="E145" s="441" t="s">
        <v>4</v>
      </c>
      <c r="F145" s="51">
        <v>20.5</v>
      </c>
      <c r="G145" s="510"/>
      <c r="H145" s="717">
        <f>F145*G145</f>
        <v>0</v>
      </c>
      <c r="I145" s="240">
        <f>0.0005*F145</f>
        <v>1.025E-2</v>
      </c>
      <c r="J145" s="3"/>
    </row>
    <row r="146" spans="1:10" ht="28">
      <c r="A146" s="223" t="s">
        <v>1516</v>
      </c>
      <c r="B146" s="476" t="s">
        <v>120</v>
      </c>
      <c r="C146" s="468"/>
      <c r="D146" s="2" t="s">
        <v>2514</v>
      </c>
      <c r="E146" s="441" t="s">
        <v>4</v>
      </c>
      <c r="F146" s="51">
        <v>20.5</v>
      </c>
      <c r="G146" s="510"/>
      <c r="H146" s="717">
        <f>F146*G146</f>
        <v>0</v>
      </c>
      <c r="I146" s="240">
        <f>0.00048*F146</f>
        <v>9.8399999999999998E-3</v>
      </c>
      <c r="J146" s="3"/>
    </row>
    <row r="147" spans="1:10">
      <c r="A147" s="223" t="s">
        <v>1517</v>
      </c>
      <c r="C147" s="468"/>
      <c r="D147" s="469" t="s">
        <v>125</v>
      </c>
      <c r="G147" s="510"/>
      <c r="H147" s="510"/>
      <c r="J147" s="3"/>
    </row>
    <row r="148" spans="1:10" ht="20">
      <c r="A148" s="223" t="s">
        <v>1518</v>
      </c>
      <c r="B148" s="473" t="s">
        <v>126</v>
      </c>
      <c r="C148" s="468"/>
      <c r="D148" s="478" t="s">
        <v>2515</v>
      </c>
      <c r="E148" s="441" t="s">
        <v>4</v>
      </c>
      <c r="F148" s="51">
        <v>43.4</v>
      </c>
      <c r="G148" s="510"/>
      <c r="H148" s="717">
        <f>F148*G148</f>
        <v>0</v>
      </c>
      <c r="I148" s="240">
        <f>0.335*F148</f>
        <v>14.539</v>
      </c>
      <c r="J148" s="3"/>
    </row>
    <row r="149" spans="1:10" ht="28">
      <c r="A149" s="223" t="s">
        <v>1519</v>
      </c>
      <c r="C149" s="468"/>
      <c r="D149" s="2" t="s">
        <v>128</v>
      </c>
      <c r="G149" s="510"/>
      <c r="H149" s="510"/>
      <c r="J149" s="3"/>
    </row>
    <row r="150" spans="1:10" ht="20">
      <c r="A150" s="223" t="s">
        <v>1520</v>
      </c>
      <c r="B150" s="473" t="s">
        <v>126</v>
      </c>
      <c r="C150" s="468"/>
      <c r="D150" s="478" t="s">
        <v>2516</v>
      </c>
      <c r="E150" s="441" t="s">
        <v>4</v>
      </c>
      <c r="F150" s="51">
        <f>F148</f>
        <v>43.4</v>
      </c>
      <c r="G150" s="510"/>
      <c r="H150" s="717">
        <f>F150*G150</f>
        <v>0</v>
      </c>
      <c r="I150" s="240">
        <f>0.72*F150</f>
        <v>31.247999999999998</v>
      </c>
      <c r="J150" s="3"/>
    </row>
    <row r="151" spans="1:10">
      <c r="A151" s="223" t="s">
        <v>1521</v>
      </c>
      <c r="C151" s="468"/>
      <c r="D151" s="3" t="s">
        <v>11</v>
      </c>
      <c r="G151" s="510"/>
      <c r="H151" s="510"/>
      <c r="J151" s="3"/>
    </row>
    <row r="152" spans="1:10">
      <c r="A152" s="223" t="s">
        <v>1522</v>
      </c>
      <c r="B152" s="476" t="s">
        <v>120</v>
      </c>
      <c r="C152" s="468"/>
      <c r="D152" s="3" t="s">
        <v>2511</v>
      </c>
      <c r="E152" s="441" t="s">
        <v>4</v>
      </c>
      <c r="F152" s="51">
        <v>43.4</v>
      </c>
      <c r="G152" s="510"/>
      <c r="H152" s="717">
        <f t="shared" ref="H152:H158" si="4">F152*G152</f>
        <v>0</v>
      </c>
      <c r="I152" s="240">
        <f>0.0005*F152</f>
        <v>2.1700000000000001E-2</v>
      </c>
      <c r="J152" s="3"/>
    </row>
    <row r="153" spans="1:10" ht="28">
      <c r="A153" s="223" t="s">
        <v>1523</v>
      </c>
      <c r="C153" s="468"/>
      <c r="D153" s="2" t="s">
        <v>2207</v>
      </c>
      <c r="E153" s="441" t="s">
        <v>4</v>
      </c>
      <c r="F153" s="51">
        <v>43.4</v>
      </c>
      <c r="G153" s="510"/>
      <c r="H153" s="717">
        <f t="shared" si="4"/>
        <v>0</v>
      </c>
      <c r="I153" s="240">
        <f>0.00048*F153</f>
        <v>2.0832E-2</v>
      </c>
      <c r="J153" s="3"/>
    </row>
    <row r="154" spans="1:10" ht="14">
      <c r="A154" s="223" t="s">
        <v>1524</v>
      </c>
      <c r="B154" s="439">
        <v>979071131</v>
      </c>
      <c r="C154" s="468"/>
      <c r="D154" s="2" t="s">
        <v>2517</v>
      </c>
      <c r="E154" s="441" t="s">
        <v>4</v>
      </c>
      <c r="F154" s="240">
        <f>(I126+I132+I140+I148)</f>
        <v>55.281950000000002</v>
      </c>
      <c r="G154" s="510"/>
      <c r="H154" s="713">
        <f t="shared" si="4"/>
        <v>0</v>
      </c>
      <c r="I154" s="240">
        <f>0*F154</f>
        <v>0</v>
      </c>
      <c r="J154" s="3"/>
    </row>
    <row r="155" spans="1:10" ht="28">
      <c r="A155" s="223" t="s">
        <v>1525</v>
      </c>
      <c r="B155" s="439" t="s">
        <v>131</v>
      </c>
      <c r="C155" s="468"/>
      <c r="D155" s="2" t="s">
        <v>2638</v>
      </c>
      <c r="E155" s="441" t="s">
        <v>10</v>
      </c>
      <c r="F155" s="464">
        <f>(20.17+13.57+7+14.54)*2</f>
        <v>110.56</v>
      </c>
      <c r="G155" s="510"/>
      <c r="H155" s="713">
        <f t="shared" si="4"/>
        <v>0</v>
      </c>
      <c r="I155" s="240">
        <f>0*F155</f>
        <v>0</v>
      </c>
      <c r="J155" s="3"/>
    </row>
    <row r="156" spans="1:10" ht="28">
      <c r="A156" s="223" t="s">
        <v>1526</v>
      </c>
      <c r="B156" s="439" t="s">
        <v>133</v>
      </c>
      <c r="C156" s="468"/>
      <c r="D156" s="7" t="s">
        <v>2639</v>
      </c>
      <c r="E156" s="441" t="s">
        <v>10</v>
      </c>
      <c r="F156" s="464">
        <f>(23.56+25.8+13.06+31.25) *2</f>
        <v>187.34</v>
      </c>
      <c r="G156" s="510"/>
      <c r="H156" s="713">
        <f t="shared" si="4"/>
        <v>0</v>
      </c>
      <c r="I156" s="240">
        <v>0</v>
      </c>
      <c r="J156" s="3"/>
    </row>
    <row r="157" spans="1:10" ht="28">
      <c r="A157" s="223" t="s">
        <v>1527</v>
      </c>
      <c r="B157" s="476">
        <v>963022819</v>
      </c>
      <c r="C157" s="468"/>
      <c r="D157" s="2" t="s">
        <v>2518</v>
      </c>
      <c r="E157" s="441" t="s">
        <v>15</v>
      </c>
      <c r="F157" s="51">
        <f>4.46*8</f>
        <v>35.68</v>
      </c>
      <c r="G157" s="510"/>
      <c r="H157" s="713">
        <f t="shared" si="4"/>
        <v>0</v>
      </c>
      <c r="I157" s="240">
        <f>0.112*F157</f>
        <v>3.9961600000000002</v>
      </c>
      <c r="J157" s="3"/>
    </row>
    <row r="158" spans="1:10" ht="14">
      <c r="A158" s="223" t="s">
        <v>1528</v>
      </c>
      <c r="B158" s="476">
        <v>961044111</v>
      </c>
      <c r="C158" s="382"/>
      <c r="D158" s="2" t="s">
        <v>2519</v>
      </c>
      <c r="E158" s="441" t="s">
        <v>8</v>
      </c>
      <c r="F158" s="51">
        <f>0.25*2*4.41</f>
        <v>2.2050000000000001</v>
      </c>
      <c r="G158" s="510"/>
      <c r="H158" s="713">
        <f t="shared" si="4"/>
        <v>0</v>
      </c>
      <c r="I158" s="240">
        <f>2*F158</f>
        <v>4.41</v>
      </c>
      <c r="J158" s="3"/>
    </row>
    <row r="159" spans="1:10">
      <c r="A159" s="223" t="s">
        <v>1529</v>
      </c>
      <c r="C159" s="382"/>
      <c r="D159" s="3" t="s">
        <v>13</v>
      </c>
      <c r="G159" s="510"/>
      <c r="H159" s="510"/>
      <c r="J159" s="3"/>
    </row>
    <row r="160" spans="1:10" ht="28">
      <c r="A160" s="223" t="s">
        <v>1530</v>
      </c>
      <c r="B160" s="439" t="s">
        <v>133</v>
      </c>
      <c r="C160" s="468"/>
      <c r="D160" s="7" t="s">
        <v>2520</v>
      </c>
      <c r="E160" s="441" t="s">
        <v>10</v>
      </c>
      <c r="F160" s="464">
        <v>8</v>
      </c>
      <c r="G160" s="510"/>
      <c r="H160" s="713">
        <f t="shared" ref="H160:H166" si="5">F160*G160</f>
        <v>0</v>
      </c>
      <c r="I160" s="240">
        <v>0</v>
      </c>
      <c r="J160" s="3"/>
    </row>
    <row r="161" spans="1:10" ht="14">
      <c r="A161" s="223" t="s">
        <v>1531</v>
      </c>
      <c r="B161" s="439">
        <v>997221561</v>
      </c>
      <c r="C161" s="468"/>
      <c r="D161" s="7" t="s">
        <v>2521</v>
      </c>
      <c r="E161" s="441" t="s">
        <v>10</v>
      </c>
      <c r="F161" s="240">
        <v>4.41</v>
      </c>
      <c r="G161" s="510"/>
      <c r="H161" s="713">
        <f t="shared" si="5"/>
        <v>0</v>
      </c>
      <c r="I161" s="240">
        <v>0</v>
      </c>
      <c r="J161" s="3"/>
    </row>
    <row r="162" spans="1:10" ht="15">
      <c r="A162" s="223" t="s">
        <v>1532</v>
      </c>
      <c r="B162" s="439">
        <v>997221569</v>
      </c>
      <c r="C162" s="468"/>
      <c r="D162" s="7" t="s">
        <v>2522</v>
      </c>
      <c r="E162" s="441" t="s">
        <v>10</v>
      </c>
      <c r="F162" s="240">
        <v>4.41</v>
      </c>
      <c r="G162" s="510"/>
      <c r="H162" s="713">
        <f t="shared" si="5"/>
        <v>0</v>
      </c>
      <c r="J162" s="3"/>
    </row>
    <row r="163" spans="1:10" ht="30">
      <c r="A163" s="223" t="s">
        <v>1533</v>
      </c>
      <c r="B163" s="475">
        <v>997221615</v>
      </c>
      <c r="C163" s="468"/>
      <c r="D163" s="479" t="s">
        <v>2523</v>
      </c>
      <c r="E163" s="441" t="s">
        <v>10</v>
      </c>
      <c r="F163" s="240">
        <v>4.41</v>
      </c>
      <c r="G163" s="510"/>
      <c r="H163" s="713">
        <f t="shared" si="5"/>
        <v>0</v>
      </c>
      <c r="I163" s="240">
        <v>0</v>
      </c>
      <c r="J163" s="3"/>
    </row>
    <row r="164" spans="1:10">
      <c r="A164" s="223" t="s">
        <v>1534</v>
      </c>
      <c r="B164" s="475">
        <v>271532211</v>
      </c>
      <c r="C164" s="382"/>
      <c r="D164" s="3" t="s">
        <v>2524</v>
      </c>
      <c r="E164" s="441" t="s">
        <v>8</v>
      </c>
      <c r="F164" s="51">
        <f>0.4*4.46*0.1*8</f>
        <v>1.4272</v>
      </c>
      <c r="G164" s="510"/>
      <c r="H164" s="713">
        <f t="shared" si="5"/>
        <v>0</v>
      </c>
      <c r="I164" s="240">
        <f>2.16*F164</f>
        <v>3.0827520000000002</v>
      </c>
      <c r="J164" s="3"/>
    </row>
    <row r="165" spans="1:10" ht="28">
      <c r="A165" s="223" t="s">
        <v>1535</v>
      </c>
      <c r="B165" s="476">
        <v>274313811</v>
      </c>
      <c r="C165" s="382"/>
      <c r="D165" s="2" t="s">
        <v>2525</v>
      </c>
      <c r="E165" s="441" t="s">
        <v>8</v>
      </c>
      <c r="F165" s="51">
        <f>F158</f>
        <v>2.2050000000000001</v>
      </c>
      <c r="G165" s="510"/>
      <c r="H165" s="713">
        <f t="shared" si="5"/>
        <v>0</v>
      </c>
      <c r="I165" s="240">
        <f>I158</f>
        <v>4.41</v>
      </c>
      <c r="J165" s="3"/>
    </row>
    <row r="166" spans="1:10" ht="28">
      <c r="A166" s="223" t="s">
        <v>1536</v>
      </c>
      <c r="B166" s="476" t="s">
        <v>143</v>
      </c>
      <c r="C166" s="382"/>
      <c r="D166" s="2" t="s">
        <v>2526</v>
      </c>
      <c r="E166" s="441" t="s">
        <v>15</v>
      </c>
      <c r="F166" s="51">
        <f>4.46*8</f>
        <v>35.68</v>
      </c>
      <c r="G166" s="510"/>
      <c r="H166" s="713">
        <f t="shared" si="5"/>
        <v>0</v>
      </c>
      <c r="I166" s="240">
        <f>0.03465*F166</f>
        <v>1.2363120000000001</v>
      </c>
      <c r="J166" s="3"/>
    </row>
    <row r="167" spans="1:10" ht="28">
      <c r="A167" s="223" t="s">
        <v>1537</v>
      </c>
      <c r="B167" s="476" t="s">
        <v>145</v>
      </c>
      <c r="C167" s="468"/>
      <c r="D167" s="2" t="s">
        <v>2527</v>
      </c>
      <c r="E167" s="441" t="s">
        <v>2</v>
      </c>
      <c r="F167" s="51">
        <f>10.6+5.6+35.65</f>
        <v>51.849999999999994</v>
      </c>
      <c r="G167" s="510"/>
      <c r="H167" s="713">
        <f>F167*G167</f>
        <v>0</v>
      </c>
      <c r="I167" s="240">
        <f>0.33*F167</f>
        <v>17.110499999999998</v>
      </c>
      <c r="J167" s="3"/>
    </row>
    <row r="168" spans="1:10" ht="14">
      <c r="A168" s="223" t="s">
        <v>1538</v>
      </c>
      <c r="B168" s="476"/>
      <c r="C168" s="468"/>
      <c r="D168" s="2" t="s">
        <v>14</v>
      </c>
      <c r="G168" s="510"/>
      <c r="H168" s="510"/>
      <c r="J168" s="3"/>
    </row>
    <row r="169" spans="1:10" ht="14">
      <c r="A169" s="223" t="s">
        <v>1539</v>
      </c>
      <c r="B169" s="476" t="s">
        <v>147</v>
      </c>
      <c r="C169" s="382"/>
      <c r="D169" s="2" t="s">
        <v>2528</v>
      </c>
      <c r="E169" s="441" t="s">
        <v>7</v>
      </c>
      <c r="F169" s="513">
        <v>52</v>
      </c>
      <c r="G169" s="510"/>
      <c r="H169" s="713">
        <f>F169*G169</f>
        <v>0</v>
      </c>
      <c r="I169" s="240">
        <f>0.15*F169</f>
        <v>7.8</v>
      </c>
      <c r="J169" s="3"/>
    </row>
    <row r="170" spans="1:10">
      <c r="A170" s="223" t="s">
        <v>1540</v>
      </c>
      <c r="B170" s="476" t="s">
        <v>149</v>
      </c>
      <c r="C170" s="468"/>
      <c r="D170" s="3" t="s">
        <v>2529</v>
      </c>
      <c r="E170" s="441" t="s">
        <v>2</v>
      </c>
      <c r="F170" s="51">
        <f>F167</f>
        <v>51.849999999999994</v>
      </c>
      <c r="G170" s="510"/>
      <c r="H170" s="713">
        <f>F170*G170</f>
        <v>0</v>
      </c>
      <c r="I170" s="240">
        <f>0*F170</f>
        <v>0</v>
      </c>
      <c r="J170" s="3"/>
    </row>
    <row r="171" spans="1:10" ht="28">
      <c r="A171" s="223" t="s">
        <v>1541</v>
      </c>
      <c r="B171" s="439" t="s">
        <v>133</v>
      </c>
      <c r="C171" s="468"/>
      <c r="D171" s="7" t="s">
        <v>2640</v>
      </c>
      <c r="E171" s="441" t="s">
        <v>10</v>
      </c>
      <c r="F171" s="464">
        <f>17.11*2</f>
        <v>34.22</v>
      </c>
      <c r="G171" s="510"/>
      <c r="H171" s="713">
        <f>F171*G171</f>
        <v>0</v>
      </c>
      <c r="I171" s="240">
        <v>0</v>
      </c>
      <c r="J171" s="3"/>
    </row>
    <row r="172" spans="1:10" ht="28">
      <c r="A172" s="223" t="s">
        <v>1542</v>
      </c>
      <c r="B172" s="439" t="s">
        <v>152</v>
      </c>
      <c r="C172" s="382"/>
      <c r="D172" s="2" t="s">
        <v>2530</v>
      </c>
      <c r="F172" s="240">
        <f>F167</f>
        <v>51.849999999999994</v>
      </c>
      <c r="G172" s="510"/>
      <c r="H172" s="713">
        <f>F172*G172</f>
        <v>0</v>
      </c>
      <c r="I172" s="240">
        <f>0.16849*F172</f>
        <v>8.7362064999999998</v>
      </c>
      <c r="J172" s="3"/>
    </row>
    <row r="173" spans="1:10" ht="14">
      <c r="A173" s="223" t="s">
        <v>1543</v>
      </c>
      <c r="B173" s="641"/>
      <c r="C173" s="642"/>
      <c r="D173" s="667" t="s">
        <v>641</v>
      </c>
      <c r="E173" s="663"/>
      <c r="F173" s="668"/>
      <c r="G173" s="715"/>
      <c r="H173" s="715"/>
      <c r="I173" s="656"/>
      <c r="J173" s="3"/>
    </row>
    <row r="174" spans="1:10" ht="14">
      <c r="A174" s="223" t="s">
        <v>1544</v>
      </c>
      <c r="B174" s="641"/>
      <c r="C174" s="642"/>
      <c r="D174" s="667" t="s">
        <v>643</v>
      </c>
      <c r="E174" s="663" t="s">
        <v>59</v>
      </c>
      <c r="F174" s="645" t="s">
        <v>60</v>
      </c>
      <c r="G174" s="715"/>
      <c r="H174" s="714">
        <f>SUM(H175:H427)</f>
        <v>0</v>
      </c>
      <c r="I174" s="647">
        <f>SUM(I175:I427)</f>
        <v>389.41474583703138</v>
      </c>
      <c r="J174" s="3"/>
    </row>
    <row r="175" spans="1:10" ht="14">
      <c r="A175" s="223" t="s">
        <v>1545</v>
      </c>
      <c r="D175" s="483" t="s">
        <v>941</v>
      </c>
      <c r="F175" s="466"/>
      <c r="G175" s="510"/>
      <c r="H175" s="510"/>
      <c r="J175" s="3"/>
    </row>
    <row r="176" spans="1:10" ht="70">
      <c r="A176" s="223" t="s">
        <v>1546</v>
      </c>
      <c r="D176" s="444" t="s">
        <v>942</v>
      </c>
      <c r="G176" s="510"/>
      <c r="H176" s="510"/>
      <c r="J176" s="3"/>
    </row>
    <row r="177" spans="1:10" ht="65">
      <c r="A177" s="223" t="s">
        <v>1547</v>
      </c>
      <c r="D177" s="137" t="s">
        <v>2633</v>
      </c>
      <c r="G177" s="510"/>
      <c r="H177" s="510"/>
      <c r="J177" s="3"/>
    </row>
    <row r="178" spans="1:10" ht="78">
      <c r="A178" s="223" t="s">
        <v>1548</v>
      </c>
      <c r="B178" s="433" t="s">
        <v>157</v>
      </c>
      <c r="C178" s="468"/>
      <c r="D178" s="314" t="s">
        <v>2634</v>
      </c>
      <c r="E178" s="481" t="s">
        <v>7</v>
      </c>
      <c r="F178" s="514">
        <v>4</v>
      </c>
      <c r="G178" s="546"/>
      <c r="H178" s="546">
        <f>F178*G178</f>
        <v>0</v>
      </c>
      <c r="J178" s="3"/>
    </row>
    <row r="179" spans="1:10" ht="91">
      <c r="A179" s="223" t="s">
        <v>1549</v>
      </c>
      <c r="B179" s="482"/>
      <c r="C179" s="468"/>
      <c r="D179" s="213" t="s">
        <v>2635</v>
      </c>
      <c r="E179" s="51"/>
      <c r="F179" s="484"/>
      <c r="G179" s="510"/>
      <c r="H179" s="510"/>
      <c r="J179" s="3"/>
    </row>
    <row r="180" spans="1:10" ht="78">
      <c r="A180" s="223" t="s">
        <v>1550</v>
      </c>
      <c r="D180" s="138" t="s">
        <v>2636</v>
      </c>
      <c r="G180" s="510"/>
      <c r="H180" s="510"/>
      <c r="J180" s="3"/>
    </row>
    <row r="181" spans="1:10" ht="26">
      <c r="A181" s="223" t="s">
        <v>1551</v>
      </c>
      <c r="D181" s="138" t="s">
        <v>2637</v>
      </c>
      <c r="G181" s="510"/>
      <c r="H181" s="510"/>
      <c r="J181" s="3"/>
    </row>
    <row r="182" spans="1:10" ht="15">
      <c r="A182" s="223" t="s">
        <v>1552</v>
      </c>
      <c r="B182" s="658"/>
      <c r="C182" s="669"/>
      <c r="D182" s="648" t="s">
        <v>233</v>
      </c>
      <c r="E182" s="670"/>
      <c r="F182" s="671"/>
      <c r="G182" s="681"/>
      <c r="H182" s="719"/>
      <c r="I182" s="673"/>
      <c r="J182" s="3"/>
    </row>
    <row r="183" spans="1:10">
      <c r="A183" s="223" t="s">
        <v>1553</v>
      </c>
      <c r="B183" s="433"/>
      <c r="C183" s="277"/>
      <c r="D183" s="165" t="s">
        <v>154</v>
      </c>
      <c r="E183" s="415"/>
      <c r="F183" s="417"/>
      <c r="G183" s="511"/>
      <c r="H183" s="511"/>
      <c r="J183" s="3"/>
    </row>
    <row r="184" spans="1:10">
      <c r="A184" s="223" t="s">
        <v>1554</v>
      </c>
      <c r="B184" s="433" t="s">
        <v>155</v>
      </c>
      <c r="C184" s="375"/>
      <c r="D184" s="138" t="s">
        <v>237</v>
      </c>
      <c r="E184" s="415" t="s">
        <v>8</v>
      </c>
      <c r="F184" s="417">
        <f>0.25*75+(2.2*1.95*0.25)</f>
        <v>19.822500000000002</v>
      </c>
      <c r="G184" s="511"/>
      <c r="H184" s="511">
        <f>F184*G184</f>
        <v>0</v>
      </c>
      <c r="I184" s="240">
        <f>2.50187*F184</f>
        <v>49.593318074999999</v>
      </c>
      <c r="J184" s="3"/>
    </row>
    <row r="185" spans="1:10">
      <c r="A185" s="223" t="s">
        <v>1555</v>
      </c>
      <c r="B185" s="433"/>
      <c r="C185" s="375"/>
      <c r="D185" s="138" t="s">
        <v>156</v>
      </c>
      <c r="E185" s="415"/>
      <c r="F185" s="417"/>
      <c r="G185" s="511"/>
      <c r="H185" s="511"/>
      <c r="J185" s="3"/>
    </row>
    <row r="186" spans="1:10" ht="26">
      <c r="A186" s="223" t="s">
        <v>1556</v>
      </c>
      <c r="B186" s="433" t="s">
        <v>157</v>
      </c>
      <c r="C186" s="375"/>
      <c r="D186" s="144" t="s">
        <v>2208</v>
      </c>
      <c r="E186" s="415" t="s">
        <v>7</v>
      </c>
      <c r="F186" s="417">
        <v>5</v>
      </c>
      <c r="G186" s="511"/>
      <c r="H186" s="511">
        <f>F186*G186</f>
        <v>0</v>
      </c>
      <c r="I186" s="240">
        <f>0.005*F186</f>
        <v>2.5000000000000001E-2</v>
      </c>
      <c r="J186" s="3"/>
    </row>
    <row r="187" spans="1:10">
      <c r="A187" s="223" t="s">
        <v>1557</v>
      </c>
      <c r="B187" s="433"/>
      <c r="C187" s="441"/>
      <c r="D187" s="377" t="s">
        <v>226</v>
      </c>
      <c r="E187" s="415"/>
      <c r="F187" s="417"/>
      <c r="G187" s="511"/>
      <c r="H187" s="511"/>
      <c r="J187" s="3"/>
    </row>
    <row r="188" spans="1:10">
      <c r="A188" s="223" t="s">
        <v>1558</v>
      </c>
      <c r="B188" s="433" t="s">
        <v>158</v>
      </c>
      <c r="C188" s="375"/>
      <c r="D188" s="144" t="s">
        <v>228</v>
      </c>
      <c r="E188" s="415" t="s">
        <v>7</v>
      </c>
      <c r="F188" s="417">
        <v>9</v>
      </c>
      <c r="G188" s="511"/>
      <c r="H188" s="511">
        <f>F188*G188</f>
        <v>0</v>
      </c>
      <c r="I188" s="240">
        <f>0.005*F188</f>
        <v>4.4999999999999998E-2</v>
      </c>
      <c r="J188" s="3"/>
    </row>
    <row r="189" spans="1:10">
      <c r="A189" s="223" t="s">
        <v>1559</v>
      </c>
      <c r="B189" s="433" t="s">
        <v>158</v>
      </c>
      <c r="C189" s="375"/>
      <c r="D189" s="144" t="s">
        <v>229</v>
      </c>
      <c r="E189" s="415" t="s">
        <v>4</v>
      </c>
      <c r="F189" s="417">
        <f xml:space="preserve"> 36*0.25</f>
        <v>9</v>
      </c>
      <c r="G189" s="511"/>
      <c r="H189" s="511">
        <f>F189*G189</f>
        <v>0</v>
      </c>
      <c r="I189" s="240">
        <f>0.00247*F189</f>
        <v>2.223E-2</v>
      </c>
      <c r="J189" s="3"/>
    </row>
    <row r="190" spans="1:10">
      <c r="A190" s="223" t="s">
        <v>1560</v>
      </c>
      <c r="B190" s="433" t="s">
        <v>159</v>
      </c>
      <c r="C190" s="375"/>
      <c r="D190" s="138" t="s">
        <v>160</v>
      </c>
      <c r="E190" s="415" t="s">
        <v>4</v>
      </c>
      <c r="F190" s="417">
        <f>F189</f>
        <v>9</v>
      </c>
      <c r="G190" s="511"/>
      <c r="H190" s="511">
        <f>F190*G190</f>
        <v>0</v>
      </c>
      <c r="I190" s="240">
        <f>0*F190</f>
        <v>0</v>
      </c>
      <c r="J190" s="3"/>
    </row>
    <row r="191" spans="1:10">
      <c r="A191" s="223" t="s">
        <v>1561</v>
      </c>
      <c r="B191" s="433"/>
      <c r="C191" s="375"/>
      <c r="D191" s="138" t="s">
        <v>161</v>
      </c>
      <c r="E191" s="415"/>
      <c r="F191" s="417"/>
      <c r="G191" s="511"/>
      <c r="H191" s="511"/>
      <c r="J191" s="3"/>
    </row>
    <row r="192" spans="1:10" ht="26">
      <c r="A192" s="223" t="s">
        <v>1562</v>
      </c>
      <c r="B192" s="433" t="s">
        <v>162</v>
      </c>
      <c r="C192" s="375"/>
      <c r="D192" s="138" t="s">
        <v>2209</v>
      </c>
      <c r="E192" s="415" t="s">
        <v>7</v>
      </c>
      <c r="F192" s="417">
        <v>3</v>
      </c>
      <c r="G192" s="511"/>
      <c r="H192" s="511">
        <f>F192*G192</f>
        <v>0</v>
      </c>
      <c r="I192" s="240">
        <f>0*F192</f>
        <v>0</v>
      </c>
      <c r="J192" s="3"/>
    </row>
    <row r="193" spans="1:10" ht="26">
      <c r="A193" s="223" t="s">
        <v>1563</v>
      </c>
      <c r="B193" s="433" t="s">
        <v>163</v>
      </c>
      <c r="C193" s="375"/>
      <c r="D193" s="144" t="s">
        <v>230</v>
      </c>
      <c r="E193" s="415" t="s">
        <v>10</v>
      </c>
      <c r="F193" s="417">
        <v>1.0329999999999999</v>
      </c>
      <c r="G193" s="511"/>
      <c r="H193" s="511">
        <f>F193*G193</f>
        <v>0</v>
      </c>
      <c r="I193" s="240">
        <f>1.06062*F193</f>
        <v>1.0956204599999999</v>
      </c>
      <c r="J193" s="3"/>
    </row>
    <row r="194" spans="1:10" ht="26">
      <c r="A194" s="223" t="s">
        <v>1564</v>
      </c>
      <c r="B194" s="433" t="s">
        <v>164</v>
      </c>
      <c r="C194" s="375"/>
      <c r="D194" s="144" t="s">
        <v>2210</v>
      </c>
      <c r="E194" s="415" t="s">
        <v>10</v>
      </c>
      <c r="F194" s="417">
        <v>6.0040000000000003E-2</v>
      </c>
      <c r="G194" s="511"/>
      <c r="H194" s="511">
        <f>F194*G194</f>
        <v>0</v>
      </c>
      <c r="I194" s="240">
        <f>1.06277*F194</f>
        <v>6.3808710800000001E-2</v>
      </c>
      <c r="J194" s="3"/>
    </row>
    <row r="195" spans="1:10" ht="26">
      <c r="A195" s="223" t="s">
        <v>1565</v>
      </c>
      <c r="B195" s="433" t="s">
        <v>163</v>
      </c>
      <c r="C195" s="375"/>
      <c r="D195" s="144" t="s">
        <v>232</v>
      </c>
      <c r="E195" s="415" t="s">
        <v>10</v>
      </c>
      <c r="F195" s="417">
        <v>1.335</v>
      </c>
      <c r="G195" s="511"/>
      <c r="H195" s="511">
        <f>F195*G195</f>
        <v>0</v>
      </c>
      <c r="I195" s="240">
        <f>1.06062*F195</f>
        <v>1.4159276999999999</v>
      </c>
      <c r="J195" s="3"/>
    </row>
    <row r="196" spans="1:10" ht="15">
      <c r="A196" s="223" t="s">
        <v>1566</v>
      </c>
      <c r="B196" s="658"/>
      <c r="C196" s="674"/>
      <c r="D196" s="648" t="s">
        <v>234</v>
      </c>
      <c r="E196" s="670"/>
      <c r="F196" s="671"/>
      <c r="G196" s="681"/>
      <c r="H196" s="719"/>
      <c r="I196" s="672"/>
      <c r="J196" s="3"/>
    </row>
    <row r="197" spans="1:10" ht="14">
      <c r="A197" s="223" t="s">
        <v>1567</v>
      </c>
      <c r="B197" s="433"/>
      <c r="C197" s="375"/>
      <c r="D197" s="1" t="s">
        <v>165</v>
      </c>
      <c r="E197" s="415"/>
      <c r="F197" s="417"/>
      <c r="G197" s="511"/>
      <c r="H197" s="511"/>
      <c r="J197" s="3"/>
    </row>
    <row r="198" spans="1:10">
      <c r="A198" s="223" t="s">
        <v>1568</v>
      </c>
      <c r="B198" s="433"/>
      <c r="C198" s="375"/>
      <c r="D198" s="165" t="s">
        <v>166</v>
      </c>
      <c r="E198" s="415"/>
      <c r="F198" s="417"/>
      <c r="G198" s="511"/>
      <c r="H198" s="511"/>
      <c r="J198" s="3"/>
    </row>
    <row r="199" spans="1:10">
      <c r="A199" s="223" t="s">
        <v>1569</v>
      </c>
      <c r="B199" s="433" t="s">
        <v>167</v>
      </c>
      <c r="C199" s="375"/>
      <c r="D199" s="144" t="s">
        <v>238</v>
      </c>
      <c r="E199" s="415" t="s">
        <v>8</v>
      </c>
      <c r="F199" s="417">
        <f>SUM(F200:F201)</f>
        <v>14.612399999999999</v>
      </c>
      <c r="G199" s="511"/>
      <c r="H199" s="511">
        <f>F199*G199</f>
        <v>0</v>
      </c>
      <c r="I199" s="240">
        <f>2.502*F199</f>
        <v>36.560224799999993</v>
      </c>
      <c r="J199" s="3"/>
    </row>
    <row r="200" spans="1:10">
      <c r="A200" s="223" t="s">
        <v>1570</v>
      </c>
      <c r="B200" s="433"/>
      <c r="C200" s="375"/>
      <c r="D200" s="144" t="s">
        <v>168</v>
      </c>
      <c r="E200" s="415"/>
      <c r="F200" s="417">
        <f>0.22*66.6</f>
        <v>14.651999999999999</v>
      </c>
      <c r="G200" s="511"/>
      <c r="H200" s="511"/>
      <c r="J200" s="3"/>
    </row>
    <row r="201" spans="1:10">
      <c r="A201" s="223" t="s">
        <v>1571</v>
      </c>
      <c r="B201" s="433"/>
      <c r="C201" s="375"/>
      <c r="D201" s="144" t="s">
        <v>169</v>
      </c>
      <c r="E201" s="415"/>
      <c r="F201" s="417">
        <f>-0.9*0.2*0.22</f>
        <v>-3.9600000000000003E-2</v>
      </c>
      <c r="G201" s="511"/>
      <c r="H201" s="511"/>
      <c r="J201" s="3"/>
    </row>
    <row r="202" spans="1:10" ht="26">
      <c r="A202" s="223" t="s">
        <v>1572</v>
      </c>
      <c r="B202" s="433" t="s">
        <v>236</v>
      </c>
      <c r="C202" s="375"/>
      <c r="D202" s="144" t="s">
        <v>2211</v>
      </c>
      <c r="E202" s="415" t="s">
        <v>7</v>
      </c>
      <c r="F202" s="417">
        <v>11</v>
      </c>
      <c r="G202" s="511"/>
      <c r="H202" s="511">
        <f>F202*G202</f>
        <v>0</v>
      </c>
      <c r="I202" s="240">
        <f>0.00185*F202</f>
        <v>2.035E-2</v>
      </c>
      <c r="J202" s="3"/>
    </row>
    <row r="203" spans="1:10" ht="26">
      <c r="A203" s="223" t="s">
        <v>1573</v>
      </c>
      <c r="B203" s="433" t="s">
        <v>236</v>
      </c>
      <c r="C203" s="277"/>
      <c r="D203" s="144" t="s">
        <v>2212</v>
      </c>
      <c r="E203" s="415" t="s">
        <v>170</v>
      </c>
      <c r="F203" s="417">
        <v>51.2</v>
      </c>
      <c r="G203" s="511"/>
      <c r="H203" s="511">
        <f>F203*G203</f>
        <v>0</v>
      </c>
      <c r="I203" s="240">
        <v>5.1200000000000002E-2</v>
      </c>
      <c r="J203" s="3"/>
    </row>
    <row r="204" spans="1:10">
      <c r="A204" s="223" t="s">
        <v>1574</v>
      </c>
      <c r="B204" s="433"/>
      <c r="C204" s="277">
        <v>1</v>
      </c>
      <c r="D204" s="138" t="s">
        <v>171</v>
      </c>
      <c r="E204" s="415"/>
      <c r="F204" s="417"/>
      <c r="G204" s="511"/>
      <c r="H204" s="511"/>
      <c r="J204" s="3"/>
    </row>
    <row r="205" spans="1:10">
      <c r="A205" s="223" t="s">
        <v>1575</v>
      </c>
      <c r="B205" s="433"/>
      <c r="C205" s="277">
        <v>2</v>
      </c>
      <c r="D205" s="138" t="s">
        <v>172</v>
      </c>
      <c r="E205" s="415"/>
      <c r="F205" s="417"/>
      <c r="G205" s="511"/>
      <c r="H205" s="511"/>
      <c r="J205" s="3"/>
    </row>
    <row r="206" spans="1:10">
      <c r="A206" s="223" t="s">
        <v>1576</v>
      </c>
      <c r="B206" s="433"/>
      <c r="C206" s="277">
        <v>3</v>
      </c>
      <c r="D206" s="138" t="s">
        <v>173</v>
      </c>
      <c r="E206" s="415"/>
      <c r="F206" s="417"/>
      <c r="G206" s="511"/>
      <c r="H206" s="511"/>
      <c r="J206" s="3"/>
    </row>
    <row r="207" spans="1:10">
      <c r="A207" s="223" t="s">
        <v>1577</v>
      </c>
      <c r="B207" s="433"/>
      <c r="C207" s="277">
        <v>4</v>
      </c>
      <c r="D207" s="138" t="s">
        <v>174</v>
      </c>
      <c r="E207" s="415"/>
      <c r="F207" s="417"/>
      <c r="G207" s="511"/>
      <c r="H207" s="511"/>
      <c r="J207" s="3"/>
    </row>
    <row r="208" spans="1:10" ht="26">
      <c r="A208" s="223" t="s">
        <v>1578</v>
      </c>
      <c r="B208" s="433" t="s">
        <v>175</v>
      </c>
      <c r="C208" s="277"/>
      <c r="D208" s="144" t="s">
        <v>241</v>
      </c>
      <c r="E208" s="415" t="s">
        <v>4</v>
      </c>
      <c r="F208" s="417">
        <f xml:space="preserve"> 66.6+(34+(0.9+0.2)*2)*0.22+5.8*0.22</f>
        <v>75.839999999999989</v>
      </c>
      <c r="G208" s="511"/>
      <c r="H208" s="511">
        <f>F208*G208</f>
        <v>0</v>
      </c>
      <c r="I208" s="240">
        <f>0.00533*F208</f>
        <v>0.4042271999999999</v>
      </c>
      <c r="J208" s="3"/>
    </row>
    <row r="209" spans="1:10" ht="39">
      <c r="A209" s="223" t="s">
        <v>1579</v>
      </c>
      <c r="B209" s="433"/>
      <c r="C209" s="277"/>
      <c r="D209" s="144" t="s">
        <v>2213</v>
      </c>
      <c r="E209" s="415"/>
      <c r="F209" s="417"/>
      <c r="G209" s="511"/>
      <c r="H209" s="511"/>
      <c r="J209" s="3"/>
    </row>
    <row r="210" spans="1:10">
      <c r="A210" s="223" t="s">
        <v>1580</v>
      </c>
      <c r="B210" s="433" t="s">
        <v>177</v>
      </c>
      <c r="C210" s="277"/>
      <c r="D210" s="138" t="s">
        <v>242</v>
      </c>
      <c r="E210" s="415" t="s">
        <v>4</v>
      </c>
      <c r="F210" s="417">
        <f>F208</f>
        <v>75.839999999999989</v>
      </c>
      <c r="G210" s="511"/>
      <c r="H210" s="511">
        <f>F210*G210</f>
        <v>0</v>
      </c>
      <c r="I210" s="240">
        <f>0*F210</f>
        <v>0</v>
      </c>
      <c r="J210" s="3"/>
    </row>
    <row r="211" spans="1:10" ht="26">
      <c r="A211" s="223" t="s">
        <v>1581</v>
      </c>
      <c r="B211" s="433" t="s">
        <v>162</v>
      </c>
      <c r="C211" s="375"/>
      <c r="D211" s="138" t="s">
        <v>2209</v>
      </c>
      <c r="E211" s="415" t="s">
        <v>7</v>
      </c>
      <c r="F211" s="417">
        <v>3</v>
      </c>
      <c r="G211" s="511"/>
      <c r="H211" s="511">
        <f>F211*G211</f>
        <v>0</v>
      </c>
      <c r="I211" s="240">
        <f>0*F211</f>
        <v>0</v>
      </c>
      <c r="J211" s="3"/>
    </row>
    <row r="212" spans="1:10" ht="52">
      <c r="A212" s="223" t="s">
        <v>1582</v>
      </c>
      <c r="B212" s="433"/>
      <c r="C212" s="277"/>
      <c r="D212" s="138" t="s">
        <v>179</v>
      </c>
      <c r="E212" s="415"/>
      <c r="F212" s="417"/>
      <c r="G212" s="511"/>
      <c r="H212" s="511"/>
      <c r="J212" s="3"/>
    </row>
    <row r="213" spans="1:10">
      <c r="A213" s="223" t="s">
        <v>1583</v>
      </c>
      <c r="B213" s="433" t="s">
        <v>180</v>
      </c>
      <c r="C213" s="277"/>
      <c r="D213" s="138" t="s">
        <v>181</v>
      </c>
      <c r="E213" s="415" t="s">
        <v>4</v>
      </c>
      <c r="F213" s="417">
        <v>6</v>
      </c>
      <c r="G213" s="511"/>
      <c r="H213" s="511">
        <f t="shared" ref="H213:H219" si="6">F213*G213</f>
        <v>0</v>
      </c>
      <c r="I213" s="240">
        <f>0*F213</f>
        <v>0</v>
      </c>
      <c r="J213" s="3"/>
    </row>
    <row r="214" spans="1:10">
      <c r="A214" s="223" t="s">
        <v>1584</v>
      </c>
      <c r="B214" s="433" t="s">
        <v>182</v>
      </c>
      <c r="C214" s="277"/>
      <c r="D214" s="138" t="s">
        <v>245</v>
      </c>
      <c r="E214" s="415" t="s">
        <v>4</v>
      </c>
      <c r="F214" s="417">
        <f>F208</f>
        <v>75.839999999999989</v>
      </c>
      <c r="G214" s="511"/>
      <c r="H214" s="511">
        <f t="shared" si="6"/>
        <v>0</v>
      </c>
      <c r="I214" s="240">
        <f>0.00088*F214</f>
        <v>6.6739199999999999E-2</v>
      </c>
      <c r="J214" s="3"/>
    </row>
    <row r="215" spans="1:10">
      <c r="A215" s="223" t="s">
        <v>1585</v>
      </c>
      <c r="B215" s="433" t="s">
        <v>183</v>
      </c>
      <c r="C215" s="277"/>
      <c r="D215" s="138" t="s">
        <v>246</v>
      </c>
      <c r="E215" s="415" t="s">
        <v>4</v>
      </c>
      <c r="F215" s="417">
        <f>F214</f>
        <v>75.839999999999989</v>
      </c>
      <c r="G215" s="511"/>
      <c r="H215" s="511">
        <f t="shared" si="6"/>
        <v>0</v>
      </c>
      <c r="I215" s="240">
        <f>0*F215</f>
        <v>0</v>
      </c>
      <c r="J215" s="3"/>
    </row>
    <row r="216" spans="1:10" ht="26">
      <c r="A216" s="223" t="s">
        <v>1586</v>
      </c>
      <c r="B216" s="433" t="s">
        <v>184</v>
      </c>
      <c r="C216" s="277"/>
      <c r="D216" s="144" t="s">
        <v>243</v>
      </c>
      <c r="E216" s="415" t="s">
        <v>10</v>
      </c>
      <c r="F216" s="417">
        <f>0.71741</f>
        <v>0.71740999999999999</v>
      </c>
      <c r="G216" s="511"/>
      <c r="H216" s="511">
        <f t="shared" si="6"/>
        <v>0</v>
      </c>
      <c r="I216" s="240">
        <f>1.05555*F216</f>
        <v>0.75726212549999994</v>
      </c>
      <c r="J216" s="3"/>
    </row>
    <row r="217" spans="1:10" ht="26">
      <c r="A217" s="223" t="s">
        <v>1587</v>
      </c>
      <c r="B217" s="433" t="s">
        <v>184</v>
      </c>
      <c r="C217" s="277"/>
      <c r="D217" s="144" t="s">
        <v>244</v>
      </c>
      <c r="E217" s="415" t="s">
        <v>10</v>
      </c>
      <c r="F217" s="417">
        <v>0.65658000000000005</v>
      </c>
      <c r="G217" s="511"/>
      <c r="H217" s="511">
        <f t="shared" si="6"/>
        <v>0</v>
      </c>
      <c r="I217" s="240">
        <f>1.05555*F217</f>
        <v>0.69305301900000005</v>
      </c>
      <c r="J217" s="3"/>
    </row>
    <row r="218" spans="1:10">
      <c r="A218" s="223" t="s">
        <v>1588</v>
      </c>
      <c r="B218" s="433" t="s">
        <v>164</v>
      </c>
      <c r="C218" s="375"/>
      <c r="D218" s="144" t="s">
        <v>247</v>
      </c>
      <c r="E218" s="415" t="s">
        <v>10</v>
      </c>
      <c r="F218" s="417">
        <v>1.248E-2</v>
      </c>
      <c r="G218" s="511"/>
      <c r="H218" s="511">
        <f t="shared" si="6"/>
        <v>0</v>
      </c>
      <c r="I218" s="240">
        <f>1.06277*F218</f>
        <v>1.32633696E-2</v>
      </c>
      <c r="J218" s="3"/>
    </row>
    <row r="219" spans="1:10">
      <c r="A219" s="223" t="s">
        <v>1589</v>
      </c>
      <c r="B219" s="433"/>
      <c r="C219" s="375"/>
      <c r="D219" s="144" t="s">
        <v>248</v>
      </c>
      <c r="E219" s="415" t="s">
        <v>10</v>
      </c>
      <c r="F219" s="417">
        <v>5.3789999999999998E-2</v>
      </c>
      <c r="G219" s="511"/>
      <c r="H219" s="511">
        <f t="shared" si="6"/>
        <v>0</v>
      </c>
      <c r="I219" s="240">
        <f>1.06277*F219</f>
        <v>5.7166398299999997E-2</v>
      </c>
      <c r="J219" s="3"/>
    </row>
    <row r="220" spans="1:10" ht="14">
      <c r="A220" s="223" t="s">
        <v>1590</v>
      </c>
      <c r="B220" s="433"/>
      <c r="C220" s="375"/>
      <c r="D220" s="1" t="s">
        <v>185</v>
      </c>
      <c r="E220" s="415"/>
      <c r="F220" s="417"/>
      <c r="G220" s="511"/>
      <c r="H220" s="511"/>
      <c r="J220" s="3"/>
    </row>
    <row r="221" spans="1:10">
      <c r="A221" s="223" t="s">
        <v>1591</v>
      </c>
      <c r="B221" s="433"/>
      <c r="C221" s="375"/>
      <c r="D221" s="174" t="s">
        <v>186</v>
      </c>
      <c r="E221" s="415"/>
      <c r="F221" s="417"/>
      <c r="G221" s="511"/>
      <c r="H221" s="511"/>
      <c r="J221" s="3"/>
    </row>
    <row r="222" spans="1:10">
      <c r="A222" s="223" t="s">
        <v>1592</v>
      </c>
      <c r="B222" s="433" t="s">
        <v>167</v>
      </c>
      <c r="C222" s="375"/>
      <c r="D222" s="144" t="s">
        <v>249</v>
      </c>
      <c r="E222" s="415" t="s">
        <v>8</v>
      </c>
      <c r="F222" s="417">
        <f>13.11*0.2-(0.2*0.9)*0.2</f>
        <v>2.5859999999999999</v>
      </c>
      <c r="G222" s="511"/>
      <c r="H222" s="511">
        <f>F222*G222</f>
        <v>0</v>
      </c>
      <c r="I222" s="240">
        <f>2.502*F222</f>
        <v>6.4701719999999989</v>
      </c>
      <c r="J222" s="3"/>
    </row>
    <row r="223" spans="1:10">
      <c r="A223" s="223" t="s">
        <v>1593</v>
      </c>
      <c r="B223" s="433"/>
      <c r="C223" s="375"/>
      <c r="D223" s="144" t="s">
        <v>250</v>
      </c>
      <c r="E223" s="415"/>
      <c r="F223" s="417"/>
      <c r="G223" s="511"/>
      <c r="H223" s="511"/>
      <c r="J223" s="3"/>
    </row>
    <row r="224" spans="1:10">
      <c r="A224" s="223" t="s">
        <v>1594</v>
      </c>
      <c r="B224" s="433" t="s">
        <v>175</v>
      </c>
      <c r="C224" s="277"/>
      <c r="D224" s="144" t="s">
        <v>251</v>
      </c>
      <c r="E224" s="415" t="s">
        <v>4</v>
      </c>
      <c r="F224" s="417">
        <f>13.11+(18.9*0.2)+(0.2+0.9)*2*0.2</f>
        <v>17.330000000000002</v>
      </c>
      <c r="G224" s="511"/>
      <c r="H224" s="511">
        <f>F224*G224</f>
        <v>0</v>
      </c>
      <c r="I224" s="240">
        <f>0.00533*F224</f>
        <v>9.2368900000000004E-2</v>
      </c>
      <c r="J224" s="3"/>
    </row>
    <row r="225" spans="1:10">
      <c r="A225" s="223" t="s">
        <v>1595</v>
      </c>
      <c r="B225" s="433" t="s">
        <v>177</v>
      </c>
      <c r="C225" s="277"/>
      <c r="D225" s="138" t="s">
        <v>242</v>
      </c>
      <c r="E225" s="415" t="s">
        <v>4</v>
      </c>
      <c r="F225" s="417">
        <f>F224</f>
        <v>17.330000000000002</v>
      </c>
      <c r="G225" s="511"/>
      <c r="H225" s="511">
        <f>F225*G225</f>
        <v>0</v>
      </c>
      <c r="I225" s="240">
        <f>0*F225</f>
        <v>0</v>
      </c>
      <c r="J225" s="3"/>
    </row>
    <row r="226" spans="1:10">
      <c r="A226" s="223" t="s">
        <v>1596</v>
      </c>
      <c r="B226" s="433"/>
      <c r="C226" s="277"/>
      <c r="D226" s="138" t="s">
        <v>187</v>
      </c>
      <c r="E226" s="415"/>
      <c r="F226" s="417"/>
      <c r="G226" s="511"/>
      <c r="H226" s="511"/>
      <c r="J226" s="3"/>
    </row>
    <row r="227" spans="1:10" ht="22">
      <c r="A227" s="223" t="s">
        <v>1597</v>
      </c>
      <c r="B227" s="433" t="s">
        <v>162</v>
      </c>
      <c r="C227" s="375"/>
      <c r="D227" s="138" t="s">
        <v>2214</v>
      </c>
      <c r="E227" s="415" t="s">
        <v>7</v>
      </c>
      <c r="F227" s="417">
        <v>1</v>
      </c>
      <c r="G227" s="511"/>
      <c r="H227" s="511">
        <f>F227*G227</f>
        <v>0</v>
      </c>
      <c r="I227" s="240">
        <f>0*F227</f>
        <v>0</v>
      </c>
      <c r="J227" s="3"/>
    </row>
    <row r="228" spans="1:10" ht="26">
      <c r="A228" s="223" t="s">
        <v>1598</v>
      </c>
      <c r="B228" s="433" t="s">
        <v>162</v>
      </c>
      <c r="C228" s="277"/>
      <c r="D228" s="138" t="s">
        <v>2215</v>
      </c>
      <c r="E228" s="415" t="s">
        <v>4</v>
      </c>
      <c r="F228" s="417">
        <v>13.11</v>
      </c>
      <c r="G228" s="511"/>
      <c r="H228" s="511">
        <f>F228*G228</f>
        <v>0</v>
      </c>
      <c r="I228" s="240">
        <f>0*F228</f>
        <v>0</v>
      </c>
      <c r="J228" s="3"/>
    </row>
    <row r="229" spans="1:10" ht="26">
      <c r="A229" s="223" t="s">
        <v>1599</v>
      </c>
      <c r="B229" s="433" t="s">
        <v>162</v>
      </c>
      <c r="C229" s="277"/>
      <c r="D229" s="138" t="s">
        <v>2216</v>
      </c>
      <c r="E229" s="415" t="s">
        <v>4</v>
      </c>
      <c r="F229" s="417">
        <f>13.11+(6.7+2.2)*0.2+6.7*0.25*2+1.94*0.25*2</f>
        <v>19.21</v>
      </c>
      <c r="G229" s="511"/>
      <c r="H229" s="511">
        <f>F229*G229</f>
        <v>0</v>
      </c>
      <c r="I229" s="240">
        <f>0*F229</f>
        <v>0</v>
      </c>
      <c r="J229" s="3"/>
    </row>
    <row r="230" spans="1:10">
      <c r="A230" s="223" t="s">
        <v>1600</v>
      </c>
      <c r="B230" s="433"/>
      <c r="C230" s="277"/>
      <c r="D230" s="138" t="s">
        <v>188</v>
      </c>
      <c r="E230" s="447"/>
      <c r="F230" s="417"/>
      <c r="G230" s="511"/>
      <c r="H230" s="511"/>
      <c r="J230" s="3"/>
    </row>
    <row r="231" spans="1:10">
      <c r="A231" s="223" t="s">
        <v>1601</v>
      </c>
      <c r="B231" s="433" t="s">
        <v>189</v>
      </c>
      <c r="C231" s="277"/>
      <c r="D231" s="138" t="s">
        <v>2217</v>
      </c>
      <c r="E231" s="415" t="s">
        <v>7</v>
      </c>
      <c r="F231" s="417">
        <v>1</v>
      </c>
      <c r="G231" s="511"/>
      <c r="H231" s="511">
        <f>F231*G231</f>
        <v>0</v>
      </c>
      <c r="I231" s="240">
        <f>0*F231</f>
        <v>0</v>
      </c>
      <c r="J231" s="3"/>
    </row>
    <row r="232" spans="1:10">
      <c r="A232" s="223" t="s">
        <v>1602</v>
      </c>
      <c r="B232" s="433" t="s">
        <v>182</v>
      </c>
      <c r="C232" s="277"/>
      <c r="D232" s="138" t="s">
        <v>255</v>
      </c>
      <c r="E232" s="415" t="s">
        <v>4</v>
      </c>
      <c r="F232" s="417">
        <f>F224</f>
        <v>17.330000000000002</v>
      </c>
      <c r="G232" s="511"/>
      <c r="H232" s="511">
        <f>F232*G232</f>
        <v>0</v>
      </c>
      <c r="I232" s="240">
        <f>0.00088*F232</f>
        <v>1.5250400000000002E-2</v>
      </c>
      <c r="J232" s="3"/>
    </row>
    <row r="233" spans="1:10">
      <c r="A233" s="223" t="s">
        <v>1603</v>
      </c>
      <c r="B233" s="433" t="s">
        <v>183</v>
      </c>
      <c r="C233" s="277"/>
      <c r="D233" s="138" t="s">
        <v>256</v>
      </c>
      <c r="E233" s="415" t="s">
        <v>4</v>
      </c>
      <c r="F233" s="417">
        <f>F224</f>
        <v>17.330000000000002</v>
      </c>
      <c r="G233" s="511"/>
      <c r="H233" s="511">
        <f>F233*G233</f>
        <v>0</v>
      </c>
      <c r="I233" s="240">
        <f>0*F233</f>
        <v>0</v>
      </c>
      <c r="J233" s="3"/>
    </row>
    <row r="234" spans="1:10">
      <c r="A234" s="223" t="s">
        <v>1604</v>
      </c>
      <c r="B234" s="433" t="s">
        <v>184</v>
      </c>
      <c r="C234" s="277"/>
      <c r="D234" s="144" t="s">
        <v>262</v>
      </c>
      <c r="E234" s="415" t="s">
        <v>10</v>
      </c>
      <c r="F234" s="448">
        <v>0.12454999999999999</v>
      </c>
      <c r="G234" s="511"/>
      <c r="H234" s="511">
        <f>F234*G234</f>
        <v>0</v>
      </c>
      <c r="I234" s="240">
        <f>1.05555*F234</f>
        <v>0.13146875249999998</v>
      </c>
      <c r="J234" s="3"/>
    </row>
    <row r="235" spans="1:10">
      <c r="A235" s="223" t="s">
        <v>1605</v>
      </c>
      <c r="B235" s="433"/>
      <c r="C235" s="375"/>
      <c r="D235" s="138" t="s">
        <v>191</v>
      </c>
      <c r="E235" s="415"/>
      <c r="F235" s="417"/>
      <c r="G235" s="511"/>
      <c r="H235" s="511"/>
      <c r="J235" s="3"/>
    </row>
    <row r="236" spans="1:10">
      <c r="A236" s="223" t="s">
        <v>1606</v>
      </c>
      <c r="B236" s="433" t="s">
        <v>192</v>
      </c>
      <c r="C236" s="375"/>
      <c r="D236" s="144" t="s">
        <v>2218</v>
      </c>
      <c r="E236" s="415" t="s">
        <v>8</v>
      </c>
      <c r="F236" s="417">
        <f>SUM(F237:F238)</f>
        <v>0.50150000000000006</v>
      </c>
      <c r="G236" s="511"/>
      <c r="H236" s="511">
        <f>F236*G236</f>
        <v>0</v>
      </c>
      <c r="I236" s="240">
        <f>2.50197*F236</f>
        <v>1.2547379550000002</v>
      </c>
      <c r="J236" s="3"/>
    </row>
    <row r="237" spans="1:10">
      <c r="A237" s="223" t="s">
        <v>1607</v>
      </c>
      <c r="B237" s="433"/>
      <c r="C237" s="375"/>
      <c r="D237" s="138" t="s">
        <v>193</v>
      </c>
      <c r="E237" s="415"/>
      <c r="F237" s="417">
        <f>0.2*0.25*7.64</f>
        <v>0.38200000000000001</v>
      </c>
      <c r="G237" s="511"/>
      <c r="H237" s="511"/>
      <c r="J237" s="3"/>
    </row>
    <row r="238" spans="1:10">
      <c r="A238" s="223" t="s">
        <v>1608</v>
      </c>
      <c r="B238" s="433"/>
      <c r="C238" s="375"/>
      <c r="D238" s="138" t="s">
        <v>194</v>
      </c>
      <c r="E238" s="415"/>
      <c r="F238" s="417">
        <f>0.2*0.25*2.39</f>
        <v>0.11950000000000001</v>
      </c>
      <c r="G238" s="511"/>
      <c r="H238" s="511"/>
      <c r="J238" s="3"/>
    </row>
    <row r="239" spans="1:10">
      <c r="A239" s="223" t="s">
        <v>1609</v>
      </c>
      <c r="B239" s="433" t="s">
        <v>195</v>
      </c>
      <c r="C239" s="375"/>
      <c r="D239" s="144" t="s">
        <v>2219</v>
      </c>
      <c r="E239" s="415" t="s">
        <v>4</v>
      </c>
      <c r="F239" s="417">
        <f>0.25*7.64*2+0.25*2.39*2+0.2*(7.64+2.39)</f>
        <v>7.020999999999999</v>
      </c>
      <c r="G239" s="511"/>
      <c r="H239" s="511">
        <f t="shared" ref="H239:H244" si="7">F239*G239</f>
        <v>0</v>
      </c>
      <c r="I239" s="240">
        <f>2.50197*F239</f>
        <v>17.566331369999997</v>
      </c>
      <c r="J239" s="3"/>
    </row>
    <row r="240" spans="1:10">
      <c r="A240" s="223" t="s">
        <v>1610</v>
      </c>
      <c r="B240" s="433"/>
      <c r="C240" s="375"/>
      <c r="D240" s="144" t="s">
        <v>2220</v>
      </c>
      <c r="E240" s="415"/>
      <c r="F240" s="417"/>
      <c r="G240" s="511"/>
      <c r="H240" s="511"/>
      <c r="J240" s="3"/>
    </row>
    <row r="241" spans="1:10">
      <c r="A241" s="223" t="s">
        <v>1611</v>
      </c>
      <c r="B241" s="433" t="s">
        <v>196</v>
      </c>
      <c r="C241" s="375"/>
      <c r="D241" s="144" t="s">
        <v>2221</v>
      </c>
      <c r="E241" s="415" t="s">
        <v>4</v>
      </c>
      <c r="F241" s="417">
        <f>F239</f>
        <v>7.020999999999999</v>
      </c>
      <c r="G241" s="511"/>
      <c r="H241" s="511">
        <f t="shared" si="7"/>
        <v>0</v>
      </c>
      <c r="I241" s="240">
        <f>0*F241</f>
        <v>0</v>
      </c>
      <c r="J241" s="3"/>
    </row>
    <row r="242" spans="1:10">
      <c r="A242" s="223" t="s">
        <v>1612</v>
      </c>
      <c r="B242" s="433" t="s">
        <v>198</v>
      </c>
      <c r="C242" s="375"/>
      <c r="D242" s="138" t="s">
        <v>2222</v>
      </c>
      <c r="E242" s="415" t="s">
        <v>4</v>
      </c>
      <c r="F242" s="417">
        <f>F239</f>
        <v>7.020999999999999</v>
      </c>
      <c r="G242" s="511"/>
      <c r="H242" s="511">
        <f t="shared" si="7"/>
        <v>0</v>
      </c>
      <c r="I242" s="240">
        <f>0.0034*F242</f>
        <v>2.3871399999999994E-2</v>
      </c>
      <c r="J242" s="3"/>
    </row>
    <row r="243" spans="1:10" ht="26">
      <c r="A243" s="223" t="s">
        <v>1613</v>
      </c>
      <c r="B243" s="433" t="s">
        <v>199</v>
      </c>
      <c r="C243" s="375"/>
      <c r="D243" s="138" t="s">
        <v>2223</v>
      </c>
      <c r="E243" s="415" t="s">
        <v>4</v>
      </c>
      <c r="F243" s="417">
        <f>F239</f>
        <v>7.020999999999999</v>
      </c>
      <c r="G243" s="511"/>
      <c r="H243" s="511">
        <f t="shared" si="7"/>
        <v>0</v>
      </c>
      <c r="I243" s="240">
        <f>0.00161*F243</f>
        <v>1.1303809999999999E-2</v>
      </c>
      <c r="J243" s="3"/>
    </row>
    <row r="244" spans="1:10">
      <c r="A244" s="223" t="s">
        <v>1614</v>
      </c>
      <c r="B244" s="433" t="s">
        <v>200</v>
      </c>
      <c r="C244" s="375"/>
      <c r="D244" s="144" t="s">
        <v>2221</v>
      </c>
      <c r="E244" s="415" t="s">
        <v>4</v>
      </c>
      <c r="F244" s="417">
        <f>F243</f>
        <v>7.020999999999999</v>
      </c>
      <c r="G244" s="511"/>
      <c r="H244" s="511">
        <f t="shared" si="7"/>
        <v>0</v>
      </c>
      <c r="I244" s="240">
        <f>0*F244</f>
        <v>0</v>
      </c>
      <c r="J244" s="3"/>
    </row>
    <row r="245" spans="1:10" ht="26">
      <c r="A245" s="223" t="s">
        <v>1615</v>
      </c>
      <c r="B245" s="433" t="s">
        <v>201</v>
      </c>
      <c r="C245" s="375"/>
      <c r="D245" s="138" t="s">
        <v>2224</v>
      </c>
      <c r="E245" s="415" t="s">
        <v>10</v>
      </c>
      <c r="F245" s="417">
        <v>0.11087</v>
      </c>
      <c r="G245" s="511"/>
      <c r="H245" s="511">
        <f>F245*G245</f>
        <v>0</v>
      </c>
      <c r="I245" s="240">
        <f>1.05512*F245</f>
        <v>0.11698115440000001</v>
      </c>
      <c r="J245" s="3"/>
    </row>
    <row r="246" spans="1:10" ht="14">
      <c r="A246" s="223" t="s">
        <v>1616</v>
      </c>
      <c r="B246" s="433"/>
      <c r="C246" s="375"/>
      <c r="D246" s="1" t="s">
        <v>202</v>
      </c>
      <c r="E246" s="415"/>
      <c r="F246" s="417"/>
      <c r="G246" s="511"/>
      <c r="H246" s="511"/>
      <c r="J246" s="3"/>
    </row>
    <row r="247" spans="1:10">
      <c r="A247" s="223" t="s">
        <v>1617</v>
      </c>
      <c r="B247" s="433"/>
      <c r="C247" s="277"/>
      <c r="D247" s="174" t="s">
        <v>203</v>
      </c>
      <c r="E247" s="415"/>
      <c r="F247" s="417"/>
      <c r="G247" s="511"/>
      <c r="H247" s="511"/>
      <c r="J247" s="3"/>
    </row>
    <row r="248" spans="1:10">
      <c r="A248" s="223" t="s">
        <v>1618</v>
      </c>
      <c r="B248" s="433" t="s">
        <v>167</v>
      </c>
      <c r="C248" s="375"/>
      <c r="D248" s="138" t="s">
        <v>264</v>
      </c>
      <c r="E248" s="415" t="s">
        <v>8</v>
      </c>
      <c r="F248" s="484">
        <f>(64.1 - 0.2*0.9)*0.22- 3.14*(2.654/2)*(2.654/2)*0.22+(0.8*0.15*3.14*2.327)+ (32.5-3.88)*0.37</f>
        <v>24.312163846799997</v>
      </c>
      <c r="G248" s="511"/>
      <c r="H248" s="511">
        <f>F248*G248</f>
        <v>0</v>
      </c>
      <c r="I248" s="240">
        <f>2.502*F248</f>
        <v>60.829033944693585</v>
      </c>
      <c r="J248" s="3"/>
    </row>
    <row r="249" spans="1:10" ht="32">
      <c r="A249" s="223" t="s">
        <v>1619</v>
      </c>
      <c r="B249" s="433"/>
      <c r="C249" s="375"/>
      <c r="D249" s="485" t="s">
        <v>2225</v>
      </c>
      <c r="E249" s="415"/>
      <c r="F249" s="417"/>
      <c r="G249" s="511"/>
      <c r="H249" s="511"/>
      <c r="J249" s="3"/>
    </row>
    <row r="250" spans="1:10" ht="22">
      <c r="A250" s="223" t="s">
        <v>1620</v>
      </c>
      <c r="B250" s="433" t="s">
        <v>87</v>
      </c>
      <c r="C250" s="375"/>
      <c r="D250" s="167" t="s">
        <v>2226</v>
      </c>
      <c r="E250" s="415" t="s">
        <v>7</v>
      </c>
      <c r="F250" s="417">
        <v>7</v>
      </c>
      <c r="G250" s="511"/>
      <c r="H250" s="511">
        <f>F250*G250</f>
        <v>0</v>
      </c>
      <c r="I250" s="240">
        <f>0.001085*F250</f>
        <v>7.5950000000000002E-3</v>
      </c>
      <c r="J250" s="3"/>
    </row>
    <row r="251" spans="1:10" ht="22">
      <c r="A251" s="223" t="s">
        <v>1621</v>
      </c>
      <c r="B251" s="433" t="s">
        <v>162</v>
      </c>
      <c r="C251" s="375"/>
      <c r="D251" s="137" t="s">
        <v>2227</v>
      </c>
      <c r="E251" s="415" t="s">
        <v>7</v>
      </c>
      <c r="F251" s="417">
        <v>3</v>
      </c>
      <c r="G251" s="511"/>
      <c r="H251" s="511">
        <f>F251*G251</f>
        <v>0</v>
      </c>
      <c r="I251" s="240">
        <f>0*F251</f>
        <v>0</v>
      </c>
      <c r="J251" s="3"/>
    </row>
    <row r="252" spans="1:10">
      <c r="A252" s="223" t="s">
        <v>1622</v>
      </c>
      <c r="B252" s="433" t="s">
        <v>175</v>
      </c>
      <c r="C252" s="277"/>
      <c r="D252" s="167" t="s">
        <v>267</v>
      </c>
      <c r="E252" s="415" t="s">
        <v>4</v>
      </c>
      <c r="F252" s="417">
        <f>64.1+ 32.5*0.22+ (0.2+0.9)*2*0.22- 3.14*(2.654/2)*(2.654/2)+ (0.8*3.14*2.654)*2+(32.5-3.88)*0.37*2</f>
        <v>100.71717894</v>
      </c>
      <c r="G252" s="511"/>
      <c r="H252" s="511">
        <f>F252*G252</f>
        <v>0</v>
      </c>
      <c r="I252" s="240">
        <f>0.00533*F252</f>
        <v>0.53682256375019999</v>
      </c>
      <c r="J252" s="3"/>
    </row>
    <row r="253" spans="1:10">
      <c r="A253" s="223" t="s">
        <v>1623</v>
      </c>
      <c r="B253" s="433" t="s">
        <v>177</v>
      </c>
      <c r="C253" s="277"/>
      <c r="D253" s="138" t="s">
        <v>178</v>
      </c>
      <c r="E253" s="415" t="s">
        <v>4</v>
      </c>
      <c r="F253" s="417">
        <f>F252</f>
        <v>100.71717894</v>
      </c>
      <c r="G253" s="511"/>
      <c r="H253" s="511">
        <f>F253*G253</f>
        <v>0</v>
      </c>
      <c r="I253" s="240">
        <f>0*F253</f>
        <v>0</v>
      </c>
      <c r="J253" s="3"/>
    </row>
    <row r="254" spans="1:10" ht="26">
      <c r="A254" s="223" t="s">
        <v>1624</v>
      </c>
      <c r="B254" s="433"/>
      <c r="C254" s="277"/>
      <c r="D254" s="138" t="s">
        <v>266</v>
      </c>
      <c r="E254" s="415"/>
      <c r="F254" s="417"/>
      <c r="G254" s="511"/>
      <c r="H254" s="511"/>
      <c r="J254" s="3"/>
    </row>
    <row r="255" spans="1:10">
      <c r="A255" s="223" t="s">
        <v>1625</v>
      </c>
      <c r="B255" s="433" t="s">
        <v>180</v>
      </c>
      <c r="C255" s="277"/>
      <c r="D255" s="138" t="s">
        <v>268</v>
      </c>
      <c r="E255" s="415" t="s">
        <v>4</v>
      </c>
      <c r="F255" s="417">
        <f>(0.8*3.14*2.654)*2</f>
        <v>13.333696000000002</v>
      </c>
      <c r="G255" s="511"/>
      <c r="H255" s="511">
        <f t="shared" ref="H255:H260" si="8">F255*G255</f>
        <v>0</v>
      </c>
      <c r="I255" s="240">
        <f>0*F255</f>
        <v>0</v>
      </c>
      <c r="J255" s="3"/>
    </row>
    <row r="256" spans="1:10">
      <c r="A256" s="223" t="s">
        <v>1626</v>
      </c>
      <c r="B256" s="433" t="s">
        <v>182</v>
      </c>
      <c r="C256" s="277"/>
      <c r="D256" s="138" t="s">
        <v>269</v>
      </c>
      <c r="E256" s="415" t="s">
        <v>4</v>
      </c>
      <c r="F256" s="417">
        <f>64.1+ 32.5*0.22+ (0.2+0.9)*2*0.22- 3.14*(2.654/2)*(2.654/2)+ (0.8*3.14*2.654)*2+(32.5-3.88)*0.37*2</f>
        <v>100.71717894</v>
      </c>
      <c r="G256" s="511"/>
      <c r="H256" s="511">
        <f t="shared" si="8"/>
        <v>0</v>
      </c>
      <c r="I256" s="240">
        <f>0.00088*F256</f>
        <v>8.8631117467199996E-2</v>
      </c>
      <c r="J256" s="3"/>
    </row>
    <row r="257" spans="1:10">
      <c r="A257" s="223" t="s">
        <v>1627</v>
      </c>
      <c r="B257" s="433" t="s">
        <v>183</v>
      </c>
      <c r="C257" s="277"/>
      <c r="D257" s="138" t="s">
        <v>160</v>
      </c>
      <c r="E257" s="415" t="s">
        <v>4</v>
      </c>
      <c r="F257" s="417">
        <f>64.1+ 32.5*0.22+ (0.2+0.9)*2*0.22- 3.14*(2.654/2)*(2.654/2)+ (0.8*3.14*2.654)*2+(32.5-3.88)*0.37*2</f>
        <v>100.71717894</v>
      </c>
      <c r="G257" s="511"/>
      <c r="H257" s="511">
        <f t="shared" si="8"/>
        <v>0</v>
      </c>
      <c r="I257" s="240">
        <f>0*F257</f>
        <v>0</v>
      </c>
      <c r="J257" s="3"/>
    </row>
    <row r="258" spans="1:10" ht="26">
      <c r="A258" s="223" t="s">
        <v>1628</v>
      </c>
      <c r="B258" s="433" t="s">
        <v>184</v>
      </c>
      <c r="C258" s="277"/>
      <c r="D258" s="144" t="s">
        <v>271</v>
      </c>
      <c r="E258" s="415" t="s">
        <v>10</v>
      </c>
      <c r="F258" s="448">
        <f>0.55877</f>
        <v>0.55876999999999999</v>
      </c>
      <c r="G258" s="511"/>
      <c r="H258" s="511">
        <f t="shared" si="8"/>
        <v>0</v>
      </c>
      <c r="I258" s="240">
        <f>1.05555*F258</f>
        <v>0.58980967350000002</v>
      </c>
      <c r="J258" s="3"/>
    </row>
    <row r="259" spans="1:10" ht="26">
      <c r="A259" s="223" t="s">
        <v>1629</v>
      </c>
      <c r="B259" s="433" t="s">
        <v>184</v>
      </c>
      <c r="C259" s="277"/>
      <c r="D259" s="144" t="s">
        <v>272</v>
      </c>
      <c r="E259" s="415" t="s">
        <v>10</v>
      </c>
      <c r="F259" s="448">
        <f>0.48931</f>
        <v>0.48931000000000002</v>
      </c>
      <c r="G259" s="511"/>
      <c r="H259" s="511">
        <f t="shared" si="8"/>
        <v>0</v>
      </c>
      <c r="I259" s="240">
        <f>1.05555*F259</f>
        <v>0.51649117050000004</v>
      </c>
      <c r="J259" s="3"/>
    </row>
    <row r="260" spans="1:10">
      <c r="A260" s="223" t="s">
        <v>1630</v>
      </c>
      <c r="B260" s="433" t="s">
        <v>164</v>
      </c>
      <c r="C260" s="375"/>
      <c r="D260" s="144" t="s">
        <v>273</v>
      </c>
      <c r="E260" s="415" t="s">
        <v>10</v>
      </c>
      <c r="F260" s="448">
        <v>5.2139999999999999E-2</v>
      </c>
      <c r="G260" s="511"/>
      <c r="H260" s="511">
        <f t="shared" si="8"/>
        <v>0</v>
      </c>
      <c r="I260" s="240">
        <f>1.06277*F260</f>
        <v>5.5412827800000002E-2</v>
      </c>
      <c r="J260" s="3"/>
    </row>
    <row r="261" spans="1:10">
      <c r="A261" s="223" t="s">
        <v>1631</v>
      </c>
      <c r="B261" s="433"/>
      <c r="C261" s="171" t="s">
        <v>204</v>
      </c>
      <c r="D261" s="138" t="s">
        <v>274</v>
      </c>
      <c r="E261" s="415"/>
      <c r="F261" s="417"/>
      <c r="G261" s="511"/>
      <c r="H261" s="511"/>
      <c r="J261" s="3"/>
    </row>
    <row r="262" spans="1:10" ht="26">
      <c r="A262" s="223" t="s">
        <v>1632</v>
      </c>
      <c r="B262" s="433" t="s">
        <v>201</v>
      </c>
      <c r="C262" s="375"/>
      <c r="D262" s="138" t="s">
        <v>2228</v>
      </c>
      <c r="E262" s="415" t="s">
        <v>10</v>
      </c>
      <c r="F262" s="448">
        <v>0.10306</v>
      </c>
      <c r="G262" s="511"/>
      <c r="H262" s="511">
        <f>F262*G262</f>
        <v>0</v>
      </c>
      <c r="I262" s="240">
        <f>1.05512*F262</f>
        <v>0.1087406672</v>
      </c>
      <c r="J262" s="3"/>
    </row>
    <row r="263" spans="1:10" ht="15">
      <c r="A263" s="223" t="s">
        <v>1633</v>
      </c>
      <c r="B263" s="658"/>
      <c r="C263" s="674"/>
      <c r="D263" s="648" t="s">
        <v>282</v>
      </c>
      <c r="E263" s="670"/>
      <c r="F263" s="675"/>
      <c r="G263" s="719"/>
      <c r="H263" s="719"/>
      <c r="I263" s="672"/>
      <c r="J263" s="3"/>
    </row>
    <row r="264" spans="1:10" ht="14">
      <c r="A264" s="223" t="s">
        <v>1634</v>
      </c>
      <c r="B264" s="433"/>
      <c r="C264" s="375"/>
      <c r="D264" s="54" t="s">
        <v>205</v>
      </c>
      <c r="E264" s="415"/>
      <c r="F264" s="417"/>
      <c r="G264" s="511"/>
      <c r="H264" s="511"/>
      <c r="J264" s="3"/>
    </row>
    <row r="265" spans="1:10">
      <c r="A265" s="223" t="s">
        <v>1635</v>
      </c>
      <c r="B265" s="433"/>
      <c r="C265" s="375"/>
      <c r="D265" s="174" t="s">
        <v>206</v>
      </c>
      <c r="E265" s="415"/>
      <c r="F265" s="417"/>
      <c r="G265" s="511"/>
      <c r="H265" s="511"/>
      <c r="J265" s="3"/>
    </row>
    <row r="266" spans="1:10">
      <c r="A266" s="223" t="s">
        <v>1636</v>
      </c>
      <c r="B266" s="433" t="s">
        <v>207</v>
      </c>
      <c r="C266" s="375"/>
      <c r="D266" s="144" t="s">
        <v>276</v>
      </c>
      <c r="E266" s="415" t="s">
        <v>8</v>
      </c>
      <c r="F266" s="445">
        <f>SUM(F267:F268)</f>
        <v>20.622699999999998</v>
      </c>
      <c r="G266" s="511"/>
      <c r="H266" s="511">
        <f>F266*G266</f>
        <v>0</v>
      </c>
      <c r="I266" s="240">
        <f>2.50188*F266</f>
        <v>51.595520675999992</v>
      </c>
      <c r="J266" s="3"/>
    </row>
    <row r="267" spans="1:10">
      <c r="A267" s="223" t="s">
        <v>1637</v>
      </c>
      <c r="B267" s="433"/>
      <c r="C267" s="375"/>
      <c r="D267" s="138" t="s">
        <v>208</v>
      </c>
      <c r="E267" s="415"/>
      <c r="F267" s="417">
        <f>2.99*7</f>
        <v>20.93</v>
      </c>
      <c r="G267" s="511"/>
      <c r="H267" s="511"/>
      <c r="J267" s="3"/>
    </row>
    <row r="268" spans="1:10">
      <c r="A268" s="223" t="s">
        <v>1638</v>
      </c>
      <c r="B268" s="433"/>
      <c r="C268" s="375"/>
      <c r="D268" s="138" t="s">
        <v>209</v>
      </c>
      <c r="E268" s="415"/>
      <c r="F268" s="163">
        <f xml:space="preserve"> -(0.835*0.9+0.8*0.7+0.2*1.125)*0.2</f>
        <v>-0.30730000000000002</v>
      </c>
      <c r="G268" s="511"/>
      <c r="H268" s="511"/>
      <c r="J268" s="3"/>
    </row>
    <row r="269" spans="1:10">
      <c r="A269" s="223" t="s">
        <v>1639</v>
      </c>
      <c r="B269" s="433" t="s">
        <v>211</v>
      </c>
      <c r="C269" s="375"/>
      <c r="D269" s="144" t="s">
        <v>277</v>
      </c>
      <c r="E269" s="415" t="s">
        <v>4</v>
      </c>
      <c r="F269" s="417">
        <f>SUM(F270:F272)</f>
        <v>206.196</v>
      </c>
      <c r="G269" s="511"/>
      <c r="H269" s="511">
        <f>F269*G269</f>
        <v>0</v>
      </c>
      <c r="I269" s="240">
        <f>0.00275*F269</f>
        <v>0.56703899999999996</v>
      </c>
      <c r="J269" s="3"/>
    </row>
    <row r="270" spans="1:10">
      <c r="A270" s="223" t="s">
        <v>1640</v>
      </c>
      <c r="B270" s="433"/>
      <c r="C270" s="375"/>
      <c r="D270" s="144" t="s">
        <v>213</v>
      </c>
      <c r="E270" s="415"/>
      <c r="F270" s="417">
        <f>69*3</f>
        <v>207</v>
      </c>
      <c r="G270" s="511"/>
      <c r="H270" s="511"/>
      <c r="J270" s="3"/>
    </row>
    <row r="271" spans="1:10">
      <c r="A271" s="223" t="s">
        <v>1641</v>
      </c>
      <c r="B271" s="433"/>
      <c r="C271" s="375"/>
      <c r="D271" s="144" t="s">
        <v>214</v>
      </c>
      <c r="E271" s="415"/>
      <c r="F271" s="417">
        <f xml:space="preserve"> -(0.835*0.9+0.8*0.7+0.2*1.125)*2</f>
        <v>-3.073</v>
      </c>
      <c r="G271" s="511"/>
      <c r="H271" s="511"/>
      <c r="J271" s="3"/>
    </row>
    <row r="272" spans="1:10" ht="26">
      <c r="A272" s="223" t="s">
        <v>1642</v>
      </c>
      <c r="B272" s="433"/>
      <c r="C272" s="375"/>
      <c r="D272" s="144" t="s">
        <v>215</v>
      </c>
      <c r="E272" s="415"/>
      <c r="F272" s="417">
        <f>( 1.8+0.7)*2*0.2 + (0.835*2+0.9)*0.2+0.9*0.25+(0.2+1.125)*2*0.2</f>
        <v>2.2690000000000001</v>
      </c>
      <c r="G272" s="511"/>
      <c r="H272" s="511"/>
      <c r="J272" s="3"/>
    </row>
    <row r="273" spans="1:10">
      <c r="A273" s="223" t="s">
        <v>1643</v>
      </c>
      <c r="B273" s="433" t="s">
        <v>216</v>
      </c>
      <c r="C273" s="375"/>
      <c r="D273" s="138" t="s">
        <v>242</v>
      </c>
      <c r="E273" s="415" t="s">
        <v>4</v>
      </c>
      <c r="F273" s="417">
        <f>F269</f>
        <v>206.196</v>
      </c>
      <c r="G273" s="511"/>
      <c r="H273" s="511">
        <f>F273*G273</f>
        <v>0</v>
      </c>
      <c r="I273" s="240">
        <f>0*F273</f>
        <v>0</v>
      </c>
      <c r="J273" s="3"/>
    </row>
    <row r="274" spans="1:10" ht="26">
      <c r="A274" s="223" t="s">
        <v>1644</v>
      </c>
      <c r="B274" s="433" t="s">
        <v>284</v>
      </c>
      <c r="C274" s="375"/>
      <c r="D274" s="138" t="s">
        <v>2229</v>
      </c>
      <c r="E274" s="415" t="s">
        <v>4</v>
      </c>
      <c r="F274" s="417">
        <f>SUM(F275:F277)</f>
        <v>17.100000000000001</v>
      </c>
      <c r="G274" s="511"/>
      <c r="H274" s="511">
        <f>F274*G274</f>
        <v>0</v>
      </c>
      <c r="I274" s="240">
        <f>0.00408*F274</f>
        <v>6.9768000000000011E-2</v>
      </c>
      <c r="J274" s="3"/>
    </row>
    <row r="275" spans="1:10" ht="39">
      <c r="A275" s="223" t="s">
        <v>1645</v>
      </c>
      <c r="B275" s="433"/>
      <c r="C275" s="375"/>
      <c r="D275" s="138" t="s">
        <v>2230</v>
      </c>
      <c r="E275" s="415" t="s">
        <v>4</v>
      </c>
      <c r="F275" s="417">
        <f>3*0.8*2</f>
        <v>4.8000000000000007</v>
      </c>
      <c r="G275" s="511"/>
      <c r="H275" s="511"/>
      <c r="J275" s="3"/>
    </row>
    <row r="276" spans="1:10" ht="26">
      <c r="A276" s="223" t="s">
        <v>1646</v>
      </c>
      <c r="B276" s="433"/>
      <c r="C276" s="375"/>
      <c r="D276" s="138" t="s">
        <v>816</v>
      </c>
      <c r="E276" s="415" t="s">
        <v>4</v>
      </c>
      <c r="F276" s="417">
        <f>3*1.1*3</f>
        <v>9.9</v>
      </c>
      <c r="G276" s="511"/>
      <c r="H276" s="511"/>
      <c r="J276" s="3"/>
    </row>
    <row r="277" spans="1:10" ht="26">
      <c r="A277" s="223" t="s">
        <v>1647</v>
      </c>
      <c r="B277" s="433"/>
      <c r="C277" s="375"/>
      <c r="D277" s="138" t="s">
        <v>210</v>
      </c>
      <c r="E277" s="415" t="s">
        <v>4</v>
      </c>
      <c r="F277" s="417">
        <f>3*0.8*1</f>
        <v>2.4000000000000004</v>
      </c>
      <c r="G277" s="511"/>
      <c r="H277" s="511"/>
      <c r="J277" s="3"/>
    </row>
    <row r="278" spans="1:10">
      <c r="A278" s="223" t="s">
        <v>1648</v>
      </c>
      <c r="B278" s="433"/>
      <c r="C278" s="375"/>
      <c r="D278" s="138" t="s">
        <v>178</v>
      </c>
      <c r="E278" s="415" t="s">
        <v>4</v>
      </c>
      <c r="F278" s="417">
        <f>F274</f>
        <v>17.100000000000001</v>
      </c>
      <c r="G278" s="511"/>
      <c r="H278" s="511">
        <f>F278*G278</f>
        <v>0</v>
      </c>
      <c r="I278" s="240">
        <f>0*F278</f>
        <v>0</v>
      </c>
      <c r="J278" s="3"/>
    </row>
    <row r="279" spans="1:10" ht="39">
      <c r="A279" s="223" t="s">
        <v>1649</v>
      </c>
      <c r="B279" s="433" t="s">
        <v>162</v>
      </c>
      <c r="C279" s="277"/>
      <c r="D279" s="138" t="s">
        <v>2231</v>
      </c>
      <c r="E279" s="415" t="s">
        <v>4</v>
      </c>
      <c r="F279" s="417">
        <f>28*3+2.27</f>
        <v>86.27</v>
      </c>
      <c r="G279" s="511"/>
      <c r="H279" s="511">
        <f>F279*G279</f>
        <v>0</v>
      </c>
      <c r="I279" s="240">
        <f>0*F279</f>
        <v>0</v>
      </c>
      <c r="J279" s="3"/>
    </row>
    <row r="280" spans="1:10">
      <c r="A280" s="223" t="s">
        <v>1650</v>
      </c>
      <c r="B280" s="433"/>
      <c r="C280" s="277"/>
      <c r="D280" s="138" t="s">
        <v>287</v>
      </c>
      <c r="E280" s="415"/>
      <c r="F280" s="417"/>
      <c r="G280" s="511"/>
      <c r="H280" s="511"/>
      <c r="J280" s="3"/>
    </row>
    <row r="281" spans="1:10" ht="39">
      <c r="A281" s="223" t="s">
        <v>1651</v>
      </c>
      <c r="B281" s="433" t="s">
        <v>162</v>
      </c>
      <c r="C281" s="486"/>
      <c r="D281" s="138" t="s">
        <v>2232</v>
      </c>
      <c r="E281" s="415" t="s">
        <v>4</v>
      </c>
      <c r="F281" s="417">
        <f>6*3</f>
        <v>18</v>
      </c>
      <c r="G281" s="511"/>
      <c r="H281" s="511">
        <f>F281*G281</f>
        <v>0</v>
      </c>
      <c r="I281" s="240">
        <f>0.0026*F281</f>
        <v>4.6799999999999994E-2</v>
      </c>
      <c r="J281" s="3"/>
    </row>
    <row r="282" spans="1:10">
      <c r="A282" s="223" t="s">
        <v>1652</v>
      </c>
      <c r="B282" s="433"/>
      <c r="C282" s="375"/>
      <c r="D282" s="137" t="s">
        <v>217</v>
      </c>
      <c r="E282" s="415"/>
      <c r="F282" s="417"/>
      <c r="G282" s="511"/>
      <c r="H282" s="511"/>
      <c r="J282" s="3"/>
    </row>
    <row r="283" spans="1:10">
      <c r="A283" s="223" t="s">
        <v>1653</v>
      </c>
      <c r="B283" s="433" t="s">
        <v>218</v>
      </c>
      <c r="C283" s="375"/>
      <c r="D283" s="144" t="s">
        <v>290</v>
      </c>
      <c r="E283" s="415" t="s">
        <v>10</v>
      </c>
      <c r="F283" s="417">
        <v>1.6592</v>
      </c>
      <c r="G283" s="511"/>
      <c r="H283" s="511">
        <f>F283*G283</f>
        <v>0</v>
      </c>
      <c r="I283" s="240">
        <f>1.04632*F283</f>
        <v>1.7360541439999999</v>
      </c>
      <c r="J283" s="3"/>
    </row>
    <row r="284" spans="1:10" ht="14">
      <c r="A284" s="223" t="s">
        <v>1654</v>
      </c>
      <c r="B284" s="433"/>
      <c r="C284" s="375"/>
      <c r="D284" s="54" t="s">
        <v>220</v>
      </c>
      <c r="E284" s="415"/>
      <c r="F284" s="417"/>
      <c r="G284" s="511"/>
      <c r="H284" s="511"/>
      <c r="J284" s="3"/>
    </row>
    <row r="285" spans="1:10">
      <c r="A285" s="223" t="s">
        <v>1655</v>
      </c>
      <c r="B285" s="433"/>
      <c r="C285" s="375"/>
      <c r="D285" s="174" t="s">
        <v>221</v>
      </c>
      <c r="E285" s="415"/>
      <c r="F285" s="417"/>
      <c r="G285" s="511"/>
      <c r="H285" s="511"/>
      <c r="J285" s="3"/>
    </row>
    <row r="286" spans="1:10">
      <c r="A286" s="223" t="s">
        <v>1656</v>
      </c>
      <c r="B286" s="433" t="s">
        <v>207</v>
      </c>
      <c r="C286" s="375"/>
      <c r="D286" s="144" t="s">
        <v>278</v>
      </c>
      <c r="E286" s="415" t="s">
        <v>8</v>
      </c>
      <c r="F286" s="417">
        <f>SUM(F287:F290)</f>
        <v>33.845200000000006</v>
      </c>
      <c r="G286" s="511"/>
      <c r="H286" s="511">
        <f>F286*G286</f>
        <v>0</v>
      </c>
      <c r="I286" s="240">
        <f>2.50188*F286</f>
        <v>84.676628976000003</v>
      </c>
      <c r="J286" s="3"/>
    </row>
    <row r="287" spans="1:10">
      <c r="A287" s="223" t="s">
        <v>1657</v>
      </c>
      <c r="B287" s="433"/>
      <c r="C287" s="380" t="s">
        <v>291</v>
      </c>
      <c r="D287" s="144" t="s">
        <v>2233</v>
      </c>
      <c r="E287" s="415"/>
      <c r="F287" s="417">
        <f>2.4*2.8-2.2*1.35*0.2</f>
        <v>6.1259999999999994</v>
      </c>
      <c r="G287" s="511"/>
      <c r="H287" s="511"/>
      <c r="J287" s="3"/>
    </row>
    <row r="288" spans="1:10" ht="26">
      <c r="A288" s="223" t="s">
        <v>1658</v>
      </c>
      <c r="B288" s="433"/>
      <c r="C288" s="375" t="s">
        <v>293</v>
      </c>
      <c r="D288" s="144" t="s">
        <v>2234</v>
      </c>
      <c r="E288" s="415"/>
      <c r="F288" s="417">
        <f>5.3*4.26-(0.835*5.2*0.2*2+0.2*5.2*0.2+3.15*0.2*0.2)</f>
        <v>20.507200000000001</v>
      </c>
      <c r="G288" s="511"/>
      <c r="H288" s="511"/>
      <c r="J288" s="3"/>
    </row>
    <row r="289" spans="1:10">
      <c r="A289" s="223" t="s">
        <v>1659</v>
      </c>
      <c r="B289" s="433"/>
      <c r="C289" s="375" t="s">
        <v>295</v>
      </c>
      <c r="D289" s="138" t="s">
        <v>2235</v>
      </c>
      <c r="E289" s="415"/>
      <c r="F289" s="417">
        <f>2.7*2.8-2.2*2.7*0.2</f>
        <v>6.371999999999999</v>
      </c>
      <c r="G289" s="511"/>
      <c r="H289" s="511"/>
      <c r="J289" s="3"/>
    </row>
    <row r="290" spans="1:10">
      <c r="A290" s="223" t="s">
        <v>1660</v>
      </c>
      <c r="B290" s="433"/>
      <c r="C290" s="375"/>
      <c r="D290" s="138" t="s">
        <v>297</v>
      </c>
      <c r="E290" s="415"/>
      <c r="F290" s="417">
        <f>1.4*0.2*3</f>
        <v>0.83999999999999986</v>
      </c>
      <c r="G290" s="511"/>
      <c r="H290" s="511"/>
      <c r="J290" s="3"/>
    </row>
    <row r="291" spans="1:10">
      <c r="A291" s="223" t="s">
        <v>1661</v>
      </c>
      <c r="B291" s="433" t="s">
        <v>211</v>
      </c>
      <c r="C291" s="375"/>
      <c r="D291" s="144" t="s">
        <v>277</v>
      </c>
      <c r="E291" s="415" t="s">
        <v>4</v>
      </c>
      <c r="F291" s="417">
        <f>SUM(F292:F296)</f>
        <v>315.07600000000002</v>
      </c>
      <c r="G291" s="511"/>
      <c r="H291" s="511">
        <f>F291*G291</f>
        <v>0</v>
      </c>
      <c r="I291" s="240">
        <f>0.00275*F291</f>
        <v>0.86645899999999998</v>
      </c>
      <c r="J291" s="3"/>
    </row>
    <row r="292" spans="1:10" ht="26">
      <c r="A292" s="223" t="s">
        <v>1662</v>
      </c>
      <c r="B292" s="433"/>
      <c r="C292" s="375"/>
      <c r="D292" s="144" t="s">
        <v>298</v>
      </c>
      <c r="E292" s="415"/>
      <c r="F292" s="417">
        <f>28.4*2.7+28.4*2.4+41.4*5.3</f>
        <v>364.26</v>
      </c>
      <c r="G292" s="511"/>
      <c r="H292" s="511"/>
      <c r="J292" s="3"/>
    </row>
    <row r="293" spans="1:10">
      <c r="A293" s="223" t="s">
        <v>1663</v>
      </c>
      <c r="B293" s="433"/>
      <c r="C293" s="375"/>
      <c r="D293" s="138" t="s">
        <v>299</v>
      </c>
      <c r="E293" s="415"/>
      <c r="F293" s="417">
        <f>-((2.2*2.7*2)+(2.2*1.35*2)+(0.835*5.2*2*2)+(0.2*5.2*2+3.15*0.2*2))</f>
        <v>-38.528000000000006</v>
      </c>
      <c r="G293" s="511"/>
      <c r="H293" s="511"/>
      <c r="J293" s="3"/>
    </row>
    <row r="294" spans="1:10" ht="39">
      <c r="A294" s="223" t="s">
        <v>1664</v>
      </c>
      <c r="B294" s="433"/>
      <c r="C294" s="375"/>
      <c r="D294" s="138" t="s">
        <v>300</v>
      </c>
      <c r="E294" s="415"/>
      <c r="F294" s="417">
        <f>((2.2+2.7*2)*0.2)+(2.2*2+1.35*2)*0.2+(0.835+5.2*2)*0.2*2+(0.2+5.2*2+3.15*2+0.2*2)*0.2</f>
        <v>10.894</v>
      </c>
      <c r="G294" s="511"/>
      <c r="H294" s="511"/>
      <c r="J294" s="3"/>
    </row>
    <row r="295" spans="1:10">
      <c r="A295" s="223" t="s">
        <v>1665</v>
      </c>
      <c r="B295" s="433"/>
      <c r="C295" s="375"/>
      <c r="D295" s="138" t="s">
        <v>301</v>
      </c>
      <c r="E295" s="415"/>
      <c r="F295" s="417">
        <f>-(4.08+17.27+8.48)</f>
        <v>-29.830000000000002</v>
      </c>
      <c r="G295" s="511"/>
      <c r="H295" s="511"/>
      <c r="J295" s="3"/>
    </row>
    <row r="296" spans="1:10">
      <c r="A296" s="223" t="s">
        <v>1666</v>
      </c>
      <c r="B296" s="433"/>
      <c r="C296" s="375"/>
      <c r="D296" s="138" t="s">
        <v>302</v>
      </c>
      <c r="E296" s="415"/>
      <c r="F296" s="417">
        <f>13.8*0.2*3</f>
        <v>8.2800000000000011</v>
      </c>
      <c r="G296" s="511"/>
      <c r="H296" s="511"/>
      <c r="J296" s="3"/>
    </row>
    <row r="297" spans="1:10">
      <c r="A297" s="223" t="s">
        <v>1667</v>
      </c>
      <c r="B297" s="433" t="s">
        <v>216</v>
      </c>
      <c r="C297" s="375"/>
      <c r="D297" s="138" t="s">
        <v>178</v>
      </c>
      <c r="E297" s="415" t="s">
        <v>4</v>
      </c>
      <c r="F297" s="417">
        <f>F291</f>
        <v>315.07600000000002</v>
      </c>
      <c r="G297" s="511"/>
      <c r="H297" s="511">
        <f>F297*G297</f>
        <v>0</v>
      </c>
      <c r="I297" s="240">
        <f>0*F297</f>
        <v>0</v>
      </c>
      <c r="J297" s="3"/>
    </row>
    <row r="298" spans="1:10" ht="26">
      <c r="A298" s="223" t="s">
        <v>1668</v>
      </c>
      <c r="B298" s="433" t="s">
        <v>303</v>
      </c>
      <c r="C298" s="277"/>
      <c r="D298" s="138" t="s">
        <v>2531</v>
      </c>
      <c r="E298" s="415" t="s">
        <v>4</v>
      </c>
      <c r="F298" s="417">
        <f>SUM(F299:F301)*2</f>
        <v>59.660000000000004</v>
      </c>
      <c r="G298" s="511"/>
      <c r="H298" s="511">
        <f>F298*G298</f>
        <v>0</v>
      </c>
      <c r="I298" s="240">
        <f>0.00408*F298</f>
        <v>0.24341280000000004</v>
      </c>
      <c r="J298" s="3"/>
    </row>
    <row r="299" spans="1:10" ht="52">
      <c r="A299" s="223" t="s">
        <v>1669</v>
      </c>
      <c r="B299" s="433"/>
      <c r="C299" s="375"/>
      <c r="D299" s="138" t="s">
        <v>2236</v>
      </c>
      <c r="E299" s="415" t="s">
        <v>4</v>
      </c>
      <c r="F299" s="417">
        <f>0.8*(2.7+2.4)</f>
        <v>4.08</v>
      </c>
      <c r="G299" s="511"/>
      <c r="H299" s="511"/>
      <c r="J299" s="3"/>
    </row>
    <row r="300" spans="1:10" ht="39">
      <c r="A300" s="223" t="s">
        <v>1670</v>
      </c>
      <c r="B300" s="433"/>
      <c r="C300" s="375"/>
      <c r="D300" s="138" t="s">
        <v>819</v>
      </c>
      <c r="E300" s="415" t="s">
        <v>4</v>
      </c>
      <c r="F300" s="417">
        <f>1.1*(2.4+2.7+5.3*2)</f>
        <v>17.27</v>
      </c>
      <c r="G300" s="511"/>
      <c r="H300" s="511"/>
      <c r="J300" s="3"/>
    </row>
    <row r="301" spans="1:10" ht="26">
      <c r="A301" s="223" t="s">
        <v>1671</v>
      </c>
      <c r="B301" s="433"/>
      <c r="C301" s="375"/>
      <c r="D301" s="138" t="s">
        <v>306</v>
      </c>
      <c r="E301" s="415" t="s">
        <v>4</v>
      </c>
      <c r="F301" s="417">
        <f>0.8*5.3*2</f>
        <v>8.48</v>
      </c>
      <c r="G301" s="511"/>
      <c r="H301" s="511"/>
      <c r="J301" s="3"/>
    </row>
    <row r="302" spans="1:10">
      <c r="A302" s="223" t="s">
        <v>1672</v>
      </c>
      <c r="B302" s="433" t="s">
        <v>307</v>
      </c>
      <c r="C302" s="375"/>
      <c r="D302" s="138" t="s">
        <v>178</v>
      </c>
      <c r="E302" s="415" t="s">
        <v>4</v>
      </c>
      <c r="F302" s="417">
        <f>F298</f>
        <v>59.660000000000004</v>
      </c>
      <c r="G302" s="511"/>
      <c r="H302" s="511">
        <f>F302*G302</f>
        <v>0</v>
      </c>
      <c r="I302" s="240">
        <f>0*F302</f>
        <v>0</v>
      </c>
      <c r="J302" s="3"/>
    </row>
    <row r="303" spans="1:10" ht="26">
      <c r="A303" s="223" t="s">
        <v>1673</v>
      </c>
      <c r="B303" s="433" t="s">
        <v>180</v>
      </c>
      <c r="C303" s="375"/>
      <c r="D303" s="138" t="s">
        <v>2237</v>
      </c>
      <c r="E303" s="415" t="s">
        <v>4</v>
      </c>
      <c r="F303" s="417">
        <f>SUM(F304:F306)</f>
        <v>120.807</v>
      </c>
      <c r="G303" s="511"/>
      <c r="H303" s="511">
        <f>F303*G303</f>
        <v>0</v>
      </c>
      <c r="I303" s="240">
        <f>0*F303</f>
        <v>0</v>
      </c>
      <c r="J303" s="3"/>
    </row>
    <row r="304" spans="1:10" ht="26">
      <c r="A304" s="223" t="s">
        <v>1674</v>
      </c>
      <c r="B304" s="433"/>
      <c r="C304" s="375"/>
      <c r="D304" s="138" t="s">
        <v>308</v>
      </c>
      <c r="E304" s="415"/>
      <c r="F304" s="417">
        <f>20.1*5.3+3.27*2.7+3.27*2.4</f>
        <v>123.20700000000001</v>
      </c>
      <c r="G304" s="511"/>
      <c r="H304" s="511"/>
      <c r="J304" s="3"/>
    </row>
    <row r="305" spans="1:10">
      <c r="A305" s="223" t="s">
        <v>1675</v>
      </c>
      <c r="B305" s="433"/>
      <c r="C305" s="375"/>
      <c r="D305" s="144" t="s">
        <v>309</v>
      </c>
      <c r="E305" s="415"/>
      <c r="F305" s="417">
        <f>-(0.835*5.2*2+(0.2*5.2+3.15*0.2))</f>
        <v>-10.353999999999999</v>
      </c>
      <c r="G305" s="511"/>
      <c r="H305" s="511"/>
      <c r="J305" s="3"/>
    </row>
    <row r="306" spans="1:10">
      <c r="A306" s="223" t="s">
        <v>1676</v>
      </c>
      <c r="B306" s="433"/>
      <c r="C306" s="375"/>
      <c r="D306" s="144" t="s">
        <v>310</v>
      </c>
      <c r="E306" s="415"/>
      <c r="F306" s="417">
        <f>(0.835+5.2*2)*0.2*2+(0.2+5.2*2+3.15*2+0.2*2)*0.2</f>
        <v>7.9539999999999988</v>
      </c>
      <c r="G306" s="511"/>
      <c r="H306" s="511"/>
      <c r="J306" s="3"/>
    </row>
    <row r="307" spans="1:10" ht="26">
      <c r="A307" s="223" t="s">
        <v>1677</v>
      </c>
      <c r="B307" s="433" t="s">
        <v>180</v>
      </c>
      <c r="C307" s="375"/>
      <c r="D307" s="138" t="s">
        <v>2238</v>
      </c>
      <c r="E307" s="436" t="s">
        <v>4</v>
      </c>
      <c r="F307" s="445">
        <f>6*5.74</f>
        <v>34.44</v>
      </c>
      <c r="G307" s="720"/>
      <c r="H307" s="720">
        <f>F307*G307</f>
        <v>0</v>
      </c>
      <c r="I307" s="240">
        <f>0*F307</f>
        <v>0</v>
      </c>
      <c r="J307" s="3"/>
    </row>
    <row r="308" spans="1:10">
      <c r="A308" s="223" t="s">
        <v>1678</v>
      </c>
      <c r="B308" s="433"/>
      <c r="C308" s="375"/>
      <c r="D308" s="174" t="s">
        <v>222</v>
      </c>
      <c r="E308" s="415"/>
      <c r="F308" s="417"/>
      <c r="G308" s="511"/>
      <c r="H308" s="511">
        <f>F308*G308</f>
        <v>0</v>
      </c>
      <c r="J308" s="3"/>
    </row>
    <row r="309" spans="1:10">
      <c r="A309" s="223" t="s">
        <v>1679</v>
      </c>
      <c r="B309" s="433" t="s">
        <v>218</v>
      </c>
      <c r="C309" s="375"/>
      <c r="D309" s="144" t="s">
        <v>279</v>
      </c>
      <c r="E309" s="415" t="s">
        <v>10</v>
      </c>
      <c r="F309" s="417">
        <v>2.3751099999999998</v>
      </c>
      <c r="G309" s="511"/>
      <c r="H309" s="511">
        <f>F309*G309</f>
        <v>0</v>
      </c>
      <c r="I309" s="240">
        <f>1.04632*F309</f>
        <v>2.4851250951999995</v>
      </c>
      <c r="J309" s="3"/>
    </row>
    <row r="310" spans="1:10" ht="15">
      <c r="A310" s="223" t="s">
        <v>1680</v>
      </c>
      <c r="B310" s="433"/>
      <c r="C310" s="375"/>
      <c r="D310" s="78" t="s">
        <v>312</v>
      </c>
      <c r="E310" s="415"/>
      <c r="F310" s="417"/>
      <c r="G310" s="511"/>
      <c r="H310" s="511"/>
      <c r="J310" s="13"/>
    </row>
    <row r="311" spans="1:10" ht="14">
      <c r="A311" s="223" t="s">
        <v>1681</v>
      </c>
      <c r="B311" s="433"/>
      <c r="C311" s="375"/>
      <c r="D311" s="54" t="s">
        <v>281</v>
      </c>
      <c r="E311" s="415"/>
      <c r="F311" s="417"/>
      <c r="G311" s="511"/>
      <c r="H311" s="511"/>
      <c r="J311" s="13"/>
    </row>
    <row r="312" spans="1:10">
      <c r="A312" s="223" t="s">
        <v>1682</v>
      </c>
      <c r="B312" s="433"/>
      <c r="C312" s="375"/>
      <c r="D312" s="174" t="s">
        <v>280</v>
      </c>
      <c r="E312" s="415"/>
      <c r="F312" s="417"/>
      <c r="G312" s="511"/>
      <c r="H312" s="511"/>
      <c r="J312" s="13"/>
    </row>
    <row r="313" spans="1:10">
      <c r="A313" s="223" t="s">
        <v>1683</v>
      </c>
      <c r="B313" s="433" t="s">
        <v>223</v>
      </c>
      <c r="C313" s="375"/>
      <c r="D313" s="138" t="s">
        <v>313</v>
      </c>
      <c r="E313" s="415" t="s">
        <v>8</v>
      </c>
      <c r="F313" s="445">
        <f>SUM(F314:F315)</f>
        <v>1.2977399999999999</v>
      </c>
      <c r="G313" s="511"/>
      <c r="H313" s="511">
        <f>F313*G313</f>
        <v>0</v>
      </c>
      <c r="I313" s="240">
        <f>2.50201*F313</f>
        <v>3.2469584573999994</v>
      </c>
      <c r="J313" s="13"/>
    </row>
    <row r="314" spans="1:10" ht="26">
      <c r="A314" s="223" t="s">
        <v>1684</v>
      </c>
      <c r="B314" s="433"/>
      <c r="C314" s="375"/>
      <c r="D314" s="138" t="s">
        <v>314</v>
      </c>
      <c r="E314" s="415"/>
      <c r="F314" s="417">
        <f>2.68*2.52*0.15+0.82*2.9*0.15</f>
        <v>1.36974</v>
      </c>
      <c r="G314" s="511"/>
      <c r="H314" s="511"/>
      <c r="J314" s="13"/>
    </row>
    <row r="315" spans="1:10">
      <c r="A315" s="223" t="s">
        <v>1685</v>
      </c>
      <c r="B315" s="433"/>
      <c r="C315" s="375"/>
      <c r="D315" s="138" t="s">
        <v>315</v>
      </c>
      <c r="E315" s="415"/>
      <c r="F315" s="417">
        <f>-0.6*0.8*0.15</f>
        <v>-7.1999999999999995E-2</v>
      </c>
      <c r="G315" s="511"/>
      <c r="H315" s="511"/>
      <c r="J315" s="13"/>
    </row>
    <row r="316" spans="1:10">
      <c r="A316" s="223" t="s">
        <v>1686</v>
      </c>
      <c r="B316" s="433" t="s">
        <v>175</v>
      </c>
      <c r="C316" s="375"/>
      <c r="D316" s="144" t="s">
        <v>224</v>
      </c>
      <c r="E316" s="415" t="s">
        <v>4</v>
      </c>
      <c r="F316" s="445">
        <f>SUM(F317:F319)</f>
        <v>13.476600000000001</v>
      </c>
      <c r="G316" s="511"/>
      <c r="H316" s="511">
        <f>F316*G316</f>
        <v>0</v>
      </c>
      <c r="I316" s="240">
        <f>0.00533*F316</f>
        <v>7.1830277999999997E-2</v>
      </c>
      <c r="J316" s="13"/>
    </row>
    <row r="317" spans="1:10">
      <c r="A317" s="223" t="s">
        <v>1687</v>
      </c>
      <c r="B317" s="433"/>
      <c r="C317" s="375"/>
      <c r="D317" s="138" t="s">
        <v>316</v>
      </c>
      <c r="E317" s="415"/>
      <c r="F317" s="417">
        <f>2.68*2.52+(2.68+2.52)*2*0.15+(0.82+0.65)*2.9</f>
        <v>12.576600000000001</v>
      </c>
      <c r="G317" s="511"/>
      <c r="H317" s="511"/>
      <c r="J317" s="13"/>
    </row>
    <row r="318" spans="1:10">
      <c r="A318" s="223" t="s">
        <v>1688</v>
      </c>
      <c r="B318" s="433"/>
      <c r="C318" s="375"/>
      <c r="D318" s="138" t="s">
        <v>317</v>
      </c>
      <c r="E318" s="415"/>
      <c r="F318" s="417">
        <f>0.6*0.8</f>
        <v>0.48</v>
      </c>
      <c r="G318" s="511"/>
      <c r="H318" s="511"/>
      <c r="J318" s="13"/>
    </row>
    <row r="319" spans="1:10">
      <c r="A319" s="223" t="s">
        <v>1689</v>
      </c>
      <c r="B319" s="433"/>
      <c r="C319" s="375"/>
      <c r="D319" s="138" t="s">
        <v>318</v>
      </c>
      <c r="E319" s="415"/>
      <c r="F319" s="417">
        <f>(0.6+0.8)*2*0.15</f>
        <v>0.42</v>
      </c>
      <c r="G319" s="511"/>
      <c r="H319" s="511"/>
      <c r="J319" s="13"/>
    </row>
    <row r="320" spans="1:10">
      <c r="A320" s="223" t="s">
        <v>1690</v>
      </c>
      <c r="B320" s="433" t="s">
        <v>177</v>
      </c>
      <c r="C320" s="375"/>
      <c r="D320" s="138" t="s">
        <v>178</v>
      </c>
      <c r="E320" s="415" t="s">
        <v>4</v>
      </c>
      <c r="F320" s="445">
        <f>F316</f>
        <v>13.476600000000001</v>
      </c>
      <c r="G320" s="511"/>
      <c r="H320" s="511">
        <f>F320*G320</f>
        <v>0</v>
      </c>
      <c r="I320" s="240">
        <f>0*F320</f>
        <v>0</v>
      </c>
      <c r="J320" s="13"/>
    </row>
    <row r="321" spans="1:10">
      <c r="A321" s="223" t="s">
        <v>1691</v>
      </c>
      <c r="B321" s="433" t="s">
        <v>182</v>
      </c>
      <c r="C321" s="375"/>
      <c r="D321" s="144" t="s">
        <v>190</v>
      </c>
      <c r="E321" s="415" t="s">
        <v>4</v>
      </c>
      <c r="F321" s="445">
        <f>F316</f>
        <v>13.476600000000001</v>
      </c>
      <c r="G321" s="511"/>
      <c r="H321" s="511">
        <f>F321*G321</f>
        <v>0</v>
      </c>
      <c r="I321" s="240">
        <f>0.00088*F321</f>
        <v>1.1859408000000002E-2</v>
      </c>
      <c r="J321" s="13"/>
    </row>
    <row r="322" spans="1:10">
      <c r="A322" s="223" t="s">
        <v>1692</v>
      </c>
      <c r="B322" s="433"/>
      <c r="C322" s="375"/>
      <c r="D322" s="138" t="s">
        <v>178</v>
      </c>
      <c r="E322" s="415" t="s">
        <v>4</v>
      </c>
      <c r="F322" s="445">
        <f>F321</f>
        <v>13.476600000000001</v>
      </c>
      <c r="G322" s="511"/>
      <c r="H322" s="511">
        <f>F322*G322</f>
        <v>0</v>
      </c>
      <c r="I322" s="240">
        <f>0*F322</f>
        <v>0</v>
      </c>
      <c r="J322" s="13"/>
    </row>
    <row r="323" spans="1:10" ht="39">
      <c r="A323" s="223" t="s">
        <v>1693</v>
      </c>
      <c r="B323" s="433" t="s">
        <v>319</v>
      </c>
      <c r="C323" s="382"/>
      <c r="D323" s="138" t="s">
        <v>2239</v>
      </c>
      <c r="E323" s="415" t="s">
        <v>4</v>
      </c>
      <c r="F323" s="445">
        <f>2.68*2.52</f>
        <v>6.7536000000000005</v>
      </c>
      <c r="G323" s="511"/>
      <c r="H323" s="511">
        <f>F323*G323</f>
        <v>0</v>
      </c>
      <c r="I323" s="240">
        <f>0*F323</f>
        <v>0</v>
      </c>
      <c r="J323" s="13"/>
    </row>
    <row r="324" spans="1:10">
      <c r="A324" s="223" t="s">
        <v>1694</v>
      </c>
      <c r="B324" s="433" t="s">
        <v>207</v>
      </c>
      <c r="C324" s="375"/>
      <c r="D324" s="144" t="s">
        <v>321</v>
      </c>
      <c r="E324" s="415" t="s">
        <v>8</v>
      </c>
      <c r="F324" s="445">
        <f>SUM(F325:F326)</f>
        <v>13.81344</v>
      </c>
      <c r="G324" s="511"/>
      <c r="H324" s="511">
        <f>F324*G324</f>
        <v>0</v>
      </c>
      <c r="I324" s="240">
        <f>2.50188*F324</f>
        <v>34.559569267199997</v>
      </c>
      <c r="J324" s="13"/>
    </row>
    <row r="325" spans="1:10">
      <c r="A325" s="223" t="s">
        <v>1695</v>
      </c>
      <c r="B325" s="433"/>
      <c r="C325" s="375"/>
      <c r="D325" s="138" t="s">
        <v>322</v>
      </c>
      <c r="E325" s="415"/>
      <c r="F325" s="417">
        <f>1.6*8.75+0.72*0.71</f>
        <v>14.511200000000001</v>
      </c>
      <c r="G325" s="511"/>
      <c r="H325" s="511"/>
      <c r="J325" s="13"/>
    </row>
    <row r="326" spans="1:10">
      <c r="A326" s="223" t="s">
        <v>1696</v>
      </c>
      <c r="B326" s="433"/>
      <c r="C326" s="375"/>
      <c r="D326" s="138" t="s">
        <v>323</v>
      </c>
      <c r="E326" s="415"/>
      <c r="F326" s="417">
        <f>(1.04*2.35-( 1.74*1.03*2+2.28*1.03))*0.2</f>
        <v>-0.69776000000000005</v>
      </c>
      <c r="G326" s="511"/>
      <c r="H326" s="511"/>
      <c r="J326" s="13"/>
    </row>
    <row r="327" spans="1:10">
      <c r="A327" s="223" t="s">
        <v>1697</v>
      </c>
      <c r="B327" s="433" t="s">
        <v>211</v>
      </c>
      <c r="C327" s="375"/>
      <c r="D327" s="144" t="s">
        <v>212</v>
      </c>
      <c r="E327" s="415" t="s">
        <v>4</v>
      </c>
      <c r="F327" s="445">
        <f>SUM(F328:F332)</f>
        <v>135.32289999999998</v>
      </c>
      <c r="G327" s="511"/>
      <c r="H327" s="511">
        <f>F327*G327</f>
        <v>0</v>
      </c>
      <c r="I327" s="240">
        <f>0.00275*F327</f>
        <v>0.3721379749999999</v>
      </c>
      <c r="J327" s="13"/>
    </row>
    <row r="328" spans="1:10">
      <c r="A328" s="223" t="s">
        <v>1698</v>
      </c>
      <c r="B328" s="433"/>
      <c r="C328" s="375"/>
      <c r="D328" s="138" t="s">
        <v>324</v>
      </c>
      <c r="E328" s="415"/>
      <c r="F328" s="449">
        <f>16.35*8.75</f>
        <v>143.0625</v>
      </c>
      <c r="G328" s="511"/>
      <c r="H328" s="511"/>
      <c r="J328" s="13"/>
    </row>
    <row r="329" spans="1:10">
      <c r="A329" s="223" t="s">
        <v>1699</v>
      </c>
      <c r="B329" s="433"/>
      <c r="C329" s="375"/>
      <c r="D329" s="138" t="s">
        <v>325</v>
      </c>
      <c r="E329" s="415"/>
      <c r="F329" s="449">
        <f>-(1.74*2+2.28)*1.03*2</f>
        <v>-11.865600000000001</v>
      </c>
      <c r="G329" s="511"/>
      <c r="H329" s="511"/>
      <c r="J329" s="13"/>
    </row>
    <row r="330" spans="1:10">
      <c r="A330" s="223" t="s">
        <v>1700</v>
      </c>
      <c r="B330" s="433"/>
      <c r="C330" s="375"/>
      <c r="D330" s="138" t="s">
        <v>326</v>
      </c>
      <c r="E330" s="415"/>
      <c r="F330" s="449">
        <f>-(1.04*2.35)*2</f>
        <v>-4.8880000000000008</v>
      </c>
      <c r="G330" s="511"/>
      <c r="H330" s="511"/>
      <c r="J330" s="13"/>
    </row>
    <row r="331" spans="1:10">
      <c r="A331" s="223" t="s">
        <v>1701</v>
      </c>
      <c r="B331" s="433"/>
      <c r="C331" s="375"/>
      <c r="D331" s="138" t="s">
        <v>327</v>
      </c>
      <c r="E331" s="415"/>
      <c r="F331" s="163">
        <f>(1.74*2+2.28+1.03*3)*2*0.2+(1.04+2.35)*2*0.2</f>
        <v>4.8959999999999999</v>
      </c>
      <c r="G331" s="511"/>
      <c r="H331" s="511"/>
      <c r="J331" s="13"/>
    </row>
    <row r="332" spans="1:10">
      <c r="A332" s="223" t="s">
        <v>1702</v>
      </c>
      <c r="B332" s="433"/>
      <c r="C332" s="375"/>
      <c r="D332" s="138" t="s">
        <v>328</v>
      </c>
      <c r="E332" s="415"/>
      <c r="F332" s="449">
        <f>0.71*2.9*2</f>
        <v>4.1179999999999994</v>
      </c>
      <c r="G332" s="511"/>
      <c r="H332" s="511"/>
      <c r="J332" s="13"/>
    </row>
    <row r="333" spans="1:10">
      <c r="A333" s="223" t="s">
        <v>1703</v>
      </c>
      <c r="B333" s="433" t="s">
        <v>216</v>
      </c>
      <c r="C333" s="375"/>
      <c r="D333" s="138" t="s">
        <v>178</v>
      </c>
      <c r="E333" s="415" t="s">
        <v>4</v>
      </c>
      <c r="F333" s="445">
        <f>F327</f>
        <v>135.32289999999998</v>
      </c>
      <c r="G333" s="511"/>
      <c r="H333" s="511">
        <f>F333*G333</f>
        <v>0</v>
      </c>
      <c r="I333" s="240">
        <f>0*F333</f>
        <v>0</v>
      </c>
      <c r="J333" s="13"/>
    </row>
    <row r="334" spans="1:10" ht="26">
      <c r="A334" s="223" t="s">
        <v>1704</v>
      </c>
      <c r="B334" s="433" t="s">
        <v>180</v>
      </c>
      <c r="C334" s="375"/>
      <c r="D334" s="138" t="s">
        <v>2240</v>
      </c>
      <c r="E334" s="415" t="s">
        <v>4</v>
      </c>
      <c r="F334" s="417">
        <f>SUM(F335:F339)</f>
        <v>61.158199999999994</v>
      </c>
      <c r="G334" s="511"/>
      <c r="H334" s="511">
        <f>F334*G334</f>
        <v>0</v>
      </c>
      <c r="I334" s="240">
        <f>0.0026*F334</f>
        <v>0.15901131999999998</v>
      </c>
      <c r="J334" s="13"/>
    </row>
    <row r="335" spans="1:10">
      <c r="A335" s="223" t="s">
        <v>1705</v>
      </c>
      <c r="B335" s="433"/>
      <c r="C335" s="375"/>
      <c r="D335" s="138" t="s">
        <v>330</v>
      </c>
      <c r="E335" s="415"/>
      <c r="F335" s="163">
        <f>6.92*8.75+0.71*2.9</f>
        <v>62.608999999999995</v>
      </c>
      <c r="G335" s="511"/>
      <c r="H335" s="511"/>
      <c r="J335" s="13"/>
    </row>
    <row r="336" spans="1:10">
      <c r="A336" s="223" t="s">
        <v>1706</v>
      </c>
      <c r="B336" s="433"/>
      <c r="C336" s="375"/>
      <c r="D336" s="138" t="s">
        <v>331</v>
      </c>
      <c r="E336" s="415"/>
      <c r="F336" s="163">
        <f xml:space="preserve"> -(1.74*2+2.28)*1.03</f>
        <v>-5.9328000000000003</v>
      </c>
      <c r="G336" s="511"/>
      <c r="H336" s="511"/>
      <c r="J336" s="13"/>
    </row>
    <row r="337" spans="1:10">
      <c r="A337" s="223" t="s">
        <v>1707</v>
      </c>
      <c r="B337" s="433"/>
      <c r="C337" s="375"/>
      <c r="D337" s="138" t="s">
        <v>332</v>
      </c>
      <c r="E337" s="415"/>
      <c r="F337" s="163">
        <f>-(1.04*2.35)*1</f>
        <v>-2.4440000000000004</v>
      </c>
      <c r="G337" s="511"/>
      <c r="H337" s="511"/>
      <c r="J337" s="13"/>
    </row>
    <row r="338" spans="1:10">
      <c r="A338" s="223" t="s">
        <v>1708</v>
      </c>
      <c r="B338" s="433"/>
      <c r="C338" s="375"/>
      <c r="D338" s="138" t="s">
        <v>333</v>
      </c>
      <c r="E338" s="415"/>
      <c r="F338" s="163">
        <f>(1.74*2+2.28+1.03*3)*2*0.2+(1.04+2.35)*2*0.2</f>
        <v>4.8959999999999999</v>
      </c>
      <c r="G338" s="511"/>
      <c r="H338" s="511"/>
      <c r="J338" s="13"/>
    </row>
    <row r="339" spans="1:10">
      <c r="A339" s="223" t="s">
        <v>1709</v>
      </c>
      <c r="B339" s="433"/>
      <c r="C339" s="375"/>
      <c r="D339" s="138" t="s">
        <v>334</v>
      </c>
      <c r="E339" s="415"/>
      <c r="F339" s="449">
        <f>0.7*2.9</f>
        <v>2.0299999999999998</v>
      </c>
      <c r="G339" s="511"/>
      <c r="H339" s="511"/>
      <c r="J339" s="13"/>
    </row>
    <row r="340" spans="1:10" ht="26">
      <c r="A340" s="223" t="s">
        <v>1710</v>
      </c>
      <c r="B340" s="433"/>
      <c r="C340" s="375"/>
      <c r="D340" s="137" t="s">
        <v>2241</v>
      </c>
      <c r="E340" s="415"/>
      <c r="F340" s="417"/>
      <c r="G340" s="511"/>
      <c r="H340" s="511"/>
      <c r="J340" s="13"/>
    </row>
    <row r="341" spans="1:10">
      <c r="A341" s="223" t="s">
        <v>1711</v>
      </c>
      <c r="B341" s="433" t="s">
        <v>218</v>
      </c>
      <c r="C341" s="375"/>
      <c r="D341" s="144" t="s">
        <v>219</v>
      </c>
      <c r="E341" s="415" t="s">
        <v>10</v>
      </c>
      <c r="F341" s="450">
        <f>1.7972-F342</f>
        <v>1.2147999999999999</v>
      </c>
      <c r="G341" s="511"/>
      <c r="H341" s="511">
        <f>F341*G341</f>
        <v>0</v>
      </c>
      <c r="I341" s="240">
        <f>1.04632*F341</f>
        <v>1.2710695359999997</v>
      </c>
      <c r="J341" s="13"/>
    </row>
    <row r="342" spans="1:10">
      <c r="A342" s="223" t="s">
        <v>1712</v>
      </c>
      <c r="B342" s="433" t="s">
        <v>337</v>
      </c>
      <c r="C342" s="375"/>
      <c r="D342" s="144" t="s">
        <v>338</v>
      </c>
      <c r="E342" s="415" t="s">
        <v>10</v>
      </c>
      <c r="F342" s="450">
        <v>0.58240000000000003</v>
      </c>
      <c r="G342" s="511"/>
      <c r="H342" s="511">
        <f>F342*G342</f>
        <v>0</v>
      </c>
      <c r="I342" s="240">
        <f>1.06277*F342</f>
        <v>0.61895724800000007</v>
      </c>
      <c r="J342" s="13"/>
    </row>
    <row r="343" spans="1:10" ht="15">
      <c r="A343" s="223" t="s">
        <v>1713</v>
      </c>
      <c r="B343" s="658"/>
      <c r="C343" s="674"/>
      <c r="D343" s="648" t="s">
        <v>368</v>
      </c>
      <c r="E343" s="670"/>
      <c r="F343" s="671"/>
      <c r="G343" s="681"/>
      <c r="H343" s="719"/>
      <c r="I343" s="672"/>
      <c r="J343" s="13"/>
    </row>
    <row r="344" spans="1:10">
      <c r="A344" s="223" t="s">
        <v>1714</v>
      </c>
      <c r="B344" s="433"/>
      <c r="C344" s="375"/>
      <c r="D344" s="77" t="s">
        <v>339</v>
      </c>
      <c r="E344" s="415"/>
      <c r="F344" s="417"/>
      <c r="G344" s="511"/>
      <c r="H344" s="511"/>
      <c r="J344" s="13"/>
    </row>
    <row r="345" spans="1:10">
      <c r="A345" s="223" t="s">
        <v>1715</v>
      </c>
      <c r="B345" s="433"/>
      <c r="C345" s="375"/>
      <c r="D345" s="163" t="s">
        <v>340</v>
      </c>
      <c r="E345" s="415"/>
      <c r="F345" s="417"/>
      <c r="G345" s="511"/>
      <c r="H345" s="511"/>
      <c r="J345" s="13"/>
    </row>
    <row r="346" spans="1:10">
      <c r="A346" s="223" t="s">
        <v>1716</v>
      </c>
      <c r="B346" s="433" t="s">
        <v>341</v>
      </c>
      <c r="C346" s="375"/>
      <c r="D346" s="144" t="s">
        <v>342</v>
      </c>
      <c r="E346" s="415" t="s">
        <v>8</v>
      </c>
      <c r="F346" s="165">
        <f>3.14*0.15*0.15*3</f>
        <v>0.21194999999999997</v>
      </c>
      <c r="G346" s="511"/>
      <c r="H346" s="511">
        <f>F346*G346</f>
        <v>0</v>
      </c>
      <c r="I346" s="240">
        <f>2.50187*F346</f>
        <v>0.53027134649999985</v>
      </c>
      <c r="J346" s="13"/>
    </row>
    <row r="347" spans="1:10">
      <c r="A347" s="223" t="s">
        <v>1717</v>
      </c>
      <c r="B347" s="433"/>
      <c r="C347" s="375"/>
      <c r="D347" s="138" t="s">
        <v>343</v>
      </c>
      <c r="E347" s="415"/>
      <c r="F347" s="417"/>
      <c r="G347" s="511"/>
      <c r="H347" s="511"/>
      <c r="J347" s="13"/>
    </row>
    <row r="348" spans="1:10" ht="52">
      <c r="A348" s="223" t="s">
        <v>1718</v>
      </c>
      <c r="B348" s="433" t="s">
        <v>180</v>
      </c>
      <c r="C348" s="375"/>
      <c r="D348" s="138" t="s">
        <v>344</v>
      </c>
      <c r="E348" s="415" t="s">
        <v>8</v>
      </c>
      <c r="F348" s="417">
        <f>3.14*0.15*0.15*11.9</f>
        <v>0.8407349999999999</v>
      </c>
      <c r="G348" s="511"/>
      <c r="H348" s="511">
        <f>F348*G348</f>
        <v>0</v>
      </c>
      <c r="I348" s="240">
        <f>2.50187*F348</f>
        <v>2.1034096744499995</v>
      </c>
      <c r="J348" s="13"/>
    </row>
    <row r="349" spans="1:10">
      <c r="A349" s="223" t="s">
        <v>1719</v>
      </c>
      <c r="B349" s="433"/>
      <c r="C349" s="375"/>
      <c r="D349" s="138" t="s">
        <v>944</v>
      </c>
      <c r="E349" s="415" t="s">
        <v>8</v>
      </c>
      <c r="F349" s="417"/>
      <c r="G349" s="511"/>
      <c r="H349" s="511"/>
      <c r="J349" s="13"/>
    </row>
    <row r="350" spans="1:10" ht="26">
      <c r="A350" s="223" t="s">
        <v>1720</v>
      </c>
      <c r="B350" s="433" t="s">
        <v>345</v>
      </c>
      <c r="C350" s="375"/>
      <c r="D350" s="144" t="s">
        <v>346</v>
      </c>
      <c r="E350" s="415" t="s">
        <v>4</v>
      </c>
      <c r="F350" s="450">
        <f>2*3.14*0.15*3</f>
        <v>2.8259999999999996</v>
      </c>
      <c r="G350" s="511"/>
      <c r="H350" s="511">
        <f>F350*G350</f>
        <v>0</v>
      </c>
      <c r="I350" s="240">
        <f>0.07476*F350</f>
        <v>0.21127175999999995</v>
      </c>
      <c r="J350" s="13"/>
    </row>
    <row r="351" spans="1:10">
      <c r="A351" s="223" t="s">
        <v>1721</v>
      </c>
      <c r="B351" s="433"/>
      <c r="C351" s="375"/>
      <c r="D351" s="144" t="s">
        <v>347</v>
      </c>
      <c r="E351" s="415"/>
      <c r="F351" s="450"/>
      <c r="G351" s="511"/>
      <c r="H351" s="511"/>
      <c r="J351" s="13"/>
    </row>
    <row r="352" spans="1:10" ht="26">
      <c r="A352" s="223" t="s">
        <v>1722</v>
      </c>
      <c r="B352" s="433" t="s">
        <v>180</v>
      </c>
      <c r="C352" s="375"/>
      <c r="D352" s="138" t="s">
        <v>348</v>
      </c>
      <c r="E352" s="415" t="s">
        <v>4</v>
      </c>
      <c r="F352" s="450">
        <f>2* 3.14*0.15*11.9</f>
        <v>11.2098</v>
      </c>
      <c r="G352" s="511"/>
      <c r="H352" s="511">
        <f>F352*G352</f>
        <v>0</v>
      </c>
      <c r="I352" s="240">
        <f>0.07476*F352</f>
        <v>0.83804464799999989</v>
      </c>
      <c r="J352" s="13"/>
    </row>
    <row r="353" spans="1:10">
      <c r="A353" s="223" t="s">
        <v>1723</v>
      </c>
      <c r="B353" s="433" t="s">
        <v>180</v>
      </c>
      <c r="C353" s="375"/>
      <c r="D353" s="138" t="s">
        <v>2242</v>
      </c>
      <c r="E353" s="415" t="s">
        <v>4</v>
      </c>
      <c r="F353" s="450">
        <f>F352</f>
        <v>11.2098</v>
      </c>
      <c r="G353" s="511"/>
      <c r="H353" s="511">
        <f>F353*G353</f>
        <v>0</v>
      </c>
      <c r="I353" s="240">
        <f>0*F353</f>
        <v>0</v>
      </c>
      <c r="J353" s="13"/>
    </row>
    <row r="354" spans="1:10" ht="26">
      <c r="A354" s="223" t="s">
        <v>1724</v>
      </c>
      <c r="B354" s="433" t="s">
        <v>349</v>
      </c>
      <c r="C354" s="375"/>
      <c r="D354" s="144" t="s">
        <v>350</v>
      </c>
      <c r="E354" s="415" t="s">
        <v>2</v>
      </c>
      <c r="F354" s="417">
        <v>3</v>
      </c>
      <c r="G354" s="511"/>
      <c r="H354" s="511">
        <f>F354*G354</f>
        <v>0</v>
      </c>
      <c r="I354" s="240">
        <f>0*F354</f>
        <v>0</v>
      </c>
      <c r="J354" s="13"/>
    </row>
    <row r="355" spans="1:10">
      <c r="A355" s="223" t="s">
        <v>1725</v>
      </c>
      <c r="B355" s="433"/>
      <c r="C355" s="375"/>
      <c r="D355" s="144" t="s">
        <v>351</v>
      </c>
      <c r="E355" s="415"/>
      <c r="F355" s="417"/>
      <c r="G355" s="511"/>
      <c r="H355" s="511"/>
      <c r="J355" s="13"/>
    </row>
    <row r="356" spans="1:10" ht="26">
      <c r="A356" s="223" t="s">
        <v>1726</v>
      </c>
      <c r="B356" s="433"/>
      <c r="C356" s="375"/>
      <c r="D356" s="138" t="s">
        <v>352</v>
      </c>
      <c r="E356" s="415" t="s">
        <v>2</v>
      </c>
      <c r="F356" s="417">
        <v>11.9</v>
      </c>
      <c r="G356" s="511"/>
      <c r="H356" s="511">
        <f>F356*G356</f>
        <v>0</v>
      </c>
      <c r="I356" s="240">
        <f>0.0026*F356</f>
        <v>3.0939999999999999E-2</v>
      </c>
    </row>
    <row r="357" spans="1:10">
      <c r="A357" s="223" t="s">
        <v>1727</v>
      </c>
      <c r="B357" s="433" t="s">
        <v>218</v>
      </c>
      <c r="C357" s="375"/>
      <c r="D357" s="144" t="s">
        <v>219</v>
      </c>
      <c r="E357" s="415" t="s">
        <v>10</v>
      </c>
      <c r="F357" s="487">
        <v>3.8129999999999997E-2</v>
      </c>
      <c r="G357" s="511"/>
      <c r="H357" s="511">
        <f>F357*G357</f>
        <v>0</v>
      </c>
      <c r="I357" s="240">
        <f>1.04632*F357</f>
        <v>3.9896181599999997E-2</v>
      </c>
    </row>
    <row r="358" spans="1:10" ht="26">
      <c r="A358" s="223" t="s">
        <v>1728</v>
      </c>
      <c r="B358" s="433"/>
      <c r="C358" s="375"/>
      <c r="D358" s="138" t="s">
        <v>353</v>
      </c>
      <c r="E358" s="415" t="s">
        <v>10</v>
      </c>
      <c r="F358" s="487">
        <f>0.03813*4</f>
        <v>0.15251999999999999</v>
      </c>
      <c r="G358" s="511"/>
      <c r="H358" s="511">
        <f>F358*G358</f>
        <v>0</v>
      </c>
      <c r="I358" s="240">
        <f>1.04632*F358</f>
        <v>0.15958472639999999</v>
      </c>
    </row>
    <row r="359" spans="1:10">
      <c r="A359" s="223" t="s">
        <v>1729</v>
      </c>
      <c r="B359" s="433"/>
      <c r="C359" s="375"/>
      <c r="D359" s="77" t="s">
        <v>354</v>
      </c>
      <c r="E359" s="415"/>
      <c r="F359" s="417"/>
      <c r="G359" s="511"/>
      <c r="H359" s="511"/>
    </row>
    <row r="360" spans="1:10">
      <c r="A360" s="223" t="s">
        <v>1730</v>
      </c>
      <c r="B360" s="433"/>
      <c r="C360" s="375"/>
      <c r="D360" s="163" t="s">
        <v>355</v>
      </c>
      <c r="E360" s="415"/>
      <c r="F360" s="417"/>
      <c r="G360" s="511"/>
      <c r="H360" s="511"/>
    </row>
    <row r="361" spans="1:10">
      <c r="A361" s="223" t="s">
        <v>1731</v>
      </c>
      <c r="B361" s="433" t="s">
        <v>341</v>
      </c>
      <c r="C361" s="375"/>
      <c r="D361" s="144" t="s">
        <v>342</v>
      </c>
      <c r="E361" s="415" t="s">
        <v>8</v>
      </c>
      <c r="F361" s="451">
        <f>0.3*0.3*3</f>
        <v>0.27</v>
      </c>
      <c r="G361" s="511"/>
      <c r="H361" s="511">
        <f>F361*G361</f>
        <v>0</v>
      </c>
      <c r="I361" s="240">
        <f>2.50187*F361</f>
        <v>0.67550489999999996</v>
      </c>
    </row>
    <row r="362" spans="1:10">
      <c r="A362" s="223" t="s">
        <v>1732</v>
      </c>
      <c r="B362" s="433"/>
      <c r="C362" s="375"/>
      <c r="D362" s="138" t="s">
        <v>356</v>
      </c>
      <c r="E362" s="415"/>
      <c r="F362" s="417"/>
      <c r="G362" s="511"/>
      <c r="H362" s="511"/>
    </row>
    <row r="363" spans="1:10" ht="26">
      <c r="A363" s="223" t="s">
        <v>1733</v>
      </c>
      <c r="B363" s="433" t="s">
        <v>345</v>
      </c>
      <c r="C363" s="375"/>
      <c r="D363" s="144" t="s">
        <v>346</v>
      </c>
      <c r="E363" s="415" t="s">
        <v>4</v>
      </c>
      <c r="F363" s="450">
        <f>0.3*4*3</f>
        <v>3.5999999999999996</v>
      </c>
      <c r="G363" s="511"/>
      <c r="H363" s="511">
        <f>F363*G363</f>
        <v>0</v>
      </c>
      <c r="I363" s="240">
        <f>0.07476*F363</f>
        <v>0.26913599999999993</v>
      </c>
    </row>
    <row r="364" spans="1:10">
      <c r="A364" s="223" t="s">
        <v>1734</v>
      </c>
      <c r="B364" s="433"/>
      <c r="C364" s="375"/>
      <c r="D364" s="144" t="s">
        <v>357</v>
      </c>
      <c r="E364" s="415"/>
      <c r="F364" s="417"/>
      <c r="G364" s="511"/>
      <c r="H364" s="511"/>
    </row>
    <row r="365" spans="1:10" ht="26">
      <c r="A365" s="223" t="s">
        <v>1735</v>
      </c>
      <c r="B365" s="433" t="s">
        <v>349</v>
      </c>
      <c r="C365" s="375"/>
      <c r="D365" s="144" t="s">
        <v>350</v>
      </c>
      <c r="E365" s="415" t="s">
        <v>2</v>
      </c>
      <c r="F365" s="417">
        <v>3</v>
      </c>
      <c r="G365" s="511"/>
      <c r="H365" s="511">
        <f>F365*G365</f>
        <v>0</v>
      </c>
      <c r="I365" s="240">
        <f>0*F365</f>
        <v>0</v>
      </c>
    </row>
    <row r="366" spans="1:10">
      <c r="A366" s="223" t="s">
        <v>1736</v>
      </c>
      <c r="B366" s="433" t="s">
        <v>180</v>
      </c>
      <c r="C366" s="375"/>
      <c r="D366" s="138" t="s">
        <v>2242</v>
      </c>
      <c r="E366" s="415" t="s">
        <v>4</v>
      </c>
      <c r="F366" s="417">
        <f>F363</f>
        <v>3.5999999999999996</v>
      </c>
      <c r="G366" s="511"/>
      <c r="H366" s="511">
        <f>F366*G366</f>
        <v>0</v>
      </c>
      <c r="I366" s="240">
        <f>0.0026*F366</f>
        <v>9.3599999999999985E-3</v>
      </c>
    </row>
    <row r="367" spans="1:10">
      <c r="A367" s="223" t="s">
        <v>1737</v>
      </c>
      <c r="B367" s="433" t="s">
        <v>218</v>
      </c>
      <c r="C367" s="375"/>
      <c r="D367" s="144" t="s">
        <v>219</v>
      </c>
      <c r="E367" s="415" t="s">
        <v>10</v>
      </c>
      <c r="F367" s="487">
        <v>3.1850000000000003E-2</v>
      </c>
      <c r="G367" s="511"/>
      <c r="H367" s="511">
        <f>F367*G367</f>
        <v>0</v>
      </c>
      <c r="I367" s="240">
        <f>1.04632*F367</f>
        <v>3.3325291999999999E-2</v>
      </c>
    </row>
    <row r="368" spans="1:10">
      <c r="A368" s="223" t="s">
        <v>1738</v>
      </c>
      <c r="B368" s="433"/>
      <c r="C368" s="375"/>
      <c r="D368" s="77" t="s">
        <v>359</v>
      </c>
      <c r="E368" s="415"/>
      <c r="F368" s="417"/>
      <c r="G368" s="511"/>
      <c r="H368" s="511"/>
    </row>
    <row r="369" spans="1:9">
      <c r="A369" s="223" t="s">
        <v>1739</v>
      </c>
      <c r="B369" s="433"/>
      <c r="C369" s="375"/>
      <c r="D369" s="163" t="s">
        <v>360</v>
      </c>
      <c r="E369" s="415"/>
      <c r="F369" s="417"/>
      <c r="G369" s="511"/>
      <c r="H369" s="511"/>
    </row>
    <row r="370" spans="1:9">
      <c r="A370" s="223" t="s">
        <v>1740</v>
      </c>
      <c r="B370" s="433" t="s">
        <v>341</v>
      </c>
      <c r="C370" s="375"/>
      <c r="D370" s="144" t="s">
        <v>342</v>
      </c>
      <c r="E370" s="415" t="s">
        <v>8</v>
      </c>
      <c r="F370" s="451">
        <f>3.14*0.125*0.125*2.7</f>
        <v>0.13246875000000002</v>
      </c>
      <c r="G370" s="511"/>
      <c r="H370" s="511">
        <f>F370*G370</f>
        <v>0</v>
      </c>
      <c r="I370" s="240">
        <f>2.50187*F370</f>
        <v>0.33141959156250006</v>
      </c>
    </row>
    <row r="371" spans="1:9">
      <c r="A371" s="223" t="s">
        <v>1741</v>
      </c>
      <c r="B371" s="433"/>
      <c r="C371" s="375"/>
      <c r="D371" s="138" t="s">
        <v>361</v>
      </c>
      <c r="E371" s="415"/>
      <c r="F371" s="417"/>
      <c r="G371" s="511"/>
      <c r="H371" s="511"/>
    </row>
    <row r="372" spans="1:9" ht="26">
      <c r="A372" s="223" t="s">
        <v>1742</v>
      </c>
      <c r="B372" s="433" t="s">
        <v>345</v>
      </c>
      <c r="C372" s="375"/>
      <c r="D372" s="144" t="s">
        <v>362</v>
      </c>
      <c r="E372" s="415" t="s">
        <v>4</v>
      </c>
      <c r="F372" s="450">
        <f>2*3.14*0.15*2.7</f>
        <v>2.5434000000000001</v>
      </c>
      <c r="G372" s="511"/>
      <c r="H372" s="511">
        <f>F372*G372</f>
        <v>0</v>
      </c>
      <c r="I372" s="240">
        <f>0.07476*F372</f>
        <v>0.19014458399999998</v>
      </c>
    </row>
    <row r="373" spans="1:9">
      <c r="A373" s="223" t="s">
        <v>1743</v>
      </c>
      <c r="B373" s="433"/>
      <c r="C373" s="375"/>
      <c r="D373" s="144" t="s">
        <v>363</v>
      </c>
      <c r="E373" s="415"/>
      <c r="F373" s="417"/>
      <c r="G373" s="511"/>
      <c r="H373" s="511"/>
    </row>
    <row r="374" spans="1:9" ht="26">
      <c r="A374" s="223" t="s">
        <v>1744</v>
      </c>
      <c r="B374" s="433" t="s">
        <v>349</v>
      </c>
      <c r="C374" s="375"/>
      <c r="D374" s="144" t="s">
        <v>364</v>
      </c>
      <c r="E374" s="415" t="s">
        <v>2</v>
      </c>
      <c r="F374" s="417">
        <v>2.7</v>
      </c>
      <c r="G374" s="511"/>
      <c r="H374" s="511">
        <f>F374*G374</f>
        <v>0</v>
      </c>
      <c r="I374" s="240">
        <f>0*F374</f>
        <v>0</v>
      </c>
    </row>
    <row r="375" spans="1:9">
      <c r="A375" s="223" t="s">
        <v>1745</v>
      </c>
      <c r="B375" s="433" t="s">
        <v>180</v>
      </c>
      <c r="C375" s="375"/>
      <c r="D375" s="138" t="s">
        <v>2242</v>
      </c>
      <c r="E375" s="415" t="s">
        <v>4</v>
      </c>
      <c r="F375" s="417">
        <f>F372</f>
        <v>2.5434000000000001</v>
      </c>
      <c r="G375" s="511"/>
      <c r="H375" s="511">
        <f>F375*G375</f>
        <v>0</v>
      </c>
      <c r="I375" s="240">
        <f>0.0026*F375</f>
        <v>6.61284E-3</v>
      </c>
    </row>
    <row r="376" spans="1:9">
      <c r="A376" s="223" t="s">
        <v>1746</v>
      </c>
      <c r="B376" s="433" t="s">
        <v>218</v>
      </c>
      <c r="C376" s="375"/>
      <c r="D376" s="144" t="s">
        <v>219</v>
      </c>
      <c r="E376" s="415" t="s">
        <v>10</v>
      </c>
      <c r="F376" s="487">
        <v>2.53E-2</v>
      </c>
      <c r="G376" s="511"/>
      <c r="H376" s="511">
        <f>F376*G376</f>
        <v>0</v>
      </c>
      <c r="I376" s="240">
        <f>1.04632*F376</f>
        <v>2.6471895999999998E-2</v>
      </c>
    </row>
    <row r="377" spans="1:9">
      <c r="A377" s="223" t="s">
        <v>1747</v>
      </c>
      <c r="B377" s="433"/>
      <c r="C377" s="375"/>
      <c r="D377" s="77" t="s">
        <v>365</v>
      </c>
      <c r="E377" s="415"/>
      <c r="F377" s="417"/>
      <c r="G377" s="511"/>
      <c r="H377" s="511"/>
    </row>
    <row r="378" spans="1:9">
      <c r="A378" s="223" t="s">
        <v>1748</v>
      </c>
      <c r="B378" s="433"/>
      <c r="C378" s="375"/>
      <c r="D378" s="163" t="s">
        <v>360</v>
      </c>
      <c r="E378" s="415"/>
      <c r="F378" s="417"/>
      <c r="G378" s="511"/>
      <c r="H378" s="511"/>
    </row>
    <row r="379" spans="1:9">
      <c r="A379" s="223" t="s">
        <v>1749</v>
      </c>
      <c r="B379" s="433" t="s">
        <v>341</v>
      </c>
      <c r="C379" s="375"/>
      <c r="D379" s="144" t="s">
        <v>342</v>
      </c>
      <c r="E379" s="415" t="s">
        <v>8</v>
      </c>
      <c r="F379" s="451">
        <f>3.14*0.125*0.125*2.4</f>
        <v>0.11774999999999999</v>
      </c>
      <c r="G379" s="511"/>
      <c r="H379" s="511">
        <f>F379*G379</f>
        <v>0</v>
      </c>
      <c r="I379" s="240">
        <f>2.50187*F379</f>
        <v>0.29459519249999994</v>
      </c>
    </row>
    <row r="380" spans="1:9">
      <c r="A380" s="223" t="s">
        <v>1750</v>
      </c>
      <c r="B380" s="433"/>
      <c r="C380" s="375"/>
      <c r="D380" s="138" t="s">
        <v>366</v>
      </c>
      <c r="E380" s="415"/>
      <c r="F380" s="417"/>
      <c r="G380" s="511"/>
      <c r="H380" s="511"/>
    </row>
    <row r="381" spans="1:9" ht="26">
      <c r="A381" s="223" t="s">
        <v>1751</v>
      </c>
      <c r="B381" s="433" t="s">
        <v>345</v>
      </c>
      <c r="C381" s="375"/>
      <c r="D381" s="144" t="s">
        <v>362</v>
      </c>
      <c r="E381" s="415" t="s">
        <v>4</v>
      </c>
      <c r="F381" s="450">
        <f>2*3.14*0.15*2.4</f>
        <v>2.2607999999999997</v>
      </c>
      <c r="G381" s="511"/>
      <c r="H381" s="511">
        <f>F381*G381</f>
        <v>0</v>
      </c>
      <c r="I381" s="240">
        <f>0.07476*F381</f>
        <v>0.16901740799999995</v>
      </c>
    </row>
    <row r="382" spans="1:9">
      <c r="A382" s="223" t="s">
        <v>1752</v>
      </c>
      <c r="B382" s="433"/>
      <c r="C382" s="375"/>
      <c r="D382" s="144" t="s">
        <v>367</v>
      </c>
      <c r="E382" s="415"/>
      <c r="F382" s="417"/>
      <c r="G382" s="511"/>
      <c r="H382" s="511"/>
    </row>
    <row r="383" spans="1:9" ht="26">
      <c r="A383" s="223" t="s">
        <v>1753</v>
      </c>
      <c r="B383" s="433" t="s">
        <v>349</v>
      </c>
      <c r="C383" s="375"/>
      <c r="D383" s="144" t="s">
        <v>364</v>
      </c>
      <c r="E383" s="415" t="s">
        <v>2</v>
      </c>
      <c r="F383" s="417">
        <v>2.4</v>
      </c>
      <c r="G383" s="511"/>
      <c r="H383" s="511">
        <f>F383*G383</f>
        <v>0</v>
      </c>
      <c r="I383" s="240">
        <f>0*F383</f>
        <v>0</v>
      </c>
    </row>
    <row r="384" spans="1:9">
      <c r="A384" s="223" t="s">
        <v>1754</v>
      </c>
      <c r="B384" s="433" t="s">
        <v>180</v>
      </c>
      <c r="C384" s="375"/>
      <c r="D384" s="138" t="s">
        <v>2242</v>
      </c>
      <c r="E384" s="415" t="s">
        <v>4</v>
      </c>
      <c r="F384" s="417">
        <f>F381</f>
        <v>2.2607999999999997</v>
      </c>
      <c r="G384" s="511"/>
      <c r="H384" s="511">
        <f>F384*G384</f>
        <v>0</v>
      </c>
      <c r="I384" s="240">
        <f>0.0026*F384</f>
        <v>5.8780799999999991E-3</v>
      </c>
    </row>
    <row r="385" spans="1:9">
      <c r="A385" s="223" t="s">
        <v>1755</v>
      </c>
      <c r="B385" s="433" t="s">
        <v>218</v>
      </c>
      <c r="C385" s="375"/>
      <c r="D385" s="144" t="s">
        <v>219</v>
      </c>
      <c r="E385" s="415" t="s">
        <v>10</v>
      </c>
      <c r="F385" s="487">
        <v>2.2950000000000002E-2</v>
      </c>
      <c r="G385" s="511"/>
      <c r="H385" s="511">
        <f>F385*G385</f>
        <v>0</v>
      </c>
      <c r="I385" s="240">
        <f>1.04632*F385</f>
        <v>2.4013044000000001E-2</v>
      </c>
    </row>
    <row r="386" spans="1:9" ht="14">
      <c r="A386" s="223" t="s">
        <v>1756</v>
      </c>
      <c r="B386" s="676"/>
      <c r="C386" s="664"/>
      <c r="D386" s="643" t="s">
        <v>702</v>
      </c>
      <c r="E386" s="668"/>
      <c r="F386" s="677"/>
      <c r="G386" s="715"/>
      <c r="H386" s="715"/>
      <c r="I386" s="678"/>
    </row>
    <row r="387" spans="1:9" ht="84">
      <c r="A387" s="223" t="s">
        <v>1757</v>
      </c>
      <c r="B387" s="482"/>
      <c r="C387" s="468"/>
      <c r="D387" s="46" t="s">
        <v>647</v>
      </c>
      <c r="E387" s="489" t="s">
        <v>8</v>
      </c>
      <c r="F387" s="515">
        <f>SUM(F388:F392)</f>
        <v>4.7947519999999999</v>
      </c>
      <c r="G387" s="510"/>
      <c r="H387" s="511">
        <f>F387*G387</f>
        <v>0</v>
      </c>
      <c r="I387" s="490">
        <f>2.4*F387</f>
        <v>11.5074048</v>
      </c>
    </row>
    <row r="388" spans="1:9" ht="45">
      <c r="A388" s="223" t="s">
        <v>1758</v>
      </c>
      <c r="B388" s="482"/>
      <c r="C388" s="468"/>
      <c r="D388" s="480" t="s">
        <v>2243</v>
      </c>
      <c r="E388" s="51" t="s">
        <v>8</v>
      </c>
      <c r="F388" s="516">
        <f>4.2*0.1+ (1.075+1.065+1.335+1.18+1.01+1.005+1.155+1.365+1.075+1+1.055+1.305+1.195+1.02+1.01+1.14)*0.192*0.1</f>
        <v>0.76540800000000009</v>
      </c>
      <c r="G388" s="510"/>
      <c r="H388" s="510"/>
      <c r="I388" s="490"/>
    </row>
    <row r="389" spans="1:9" ht="60">
      <c r="A389" s="223" t="s">
        <v>1759</v>
      </c>
      <c r="B389" s="482"/>
      <c r="C389" s="468"/>
      <c r="D389" s="480" t="s">
        <v>2244</v>
      </c>
      <c r="E389" s="51" t="s">
        <v>8</v>
      </c>
      <c r="F389" s="516">
        <f>4.2*0.1+1.2*0.2+ (1.065+1.335+1.18+1.01+1.005+1.155+1.365+1.075+1+1.055+1.305+1.195+1.02+1.01+1.14)*0.192*0.1</f>
        <v>0.98476800000000009</v>
      </c>
      <c r="G389" s="510"/>
      <c r="H389" s="510"/>
      <c r="I389" s="490"/>
    </row>
    <row r="390" spans="1:9" ht="45">
      <c r="A390" s="223" t="s">
        <v>1760</v>
      </c>
      <c r="B390" s="482"/>
      <c r="C390" s="468"/>
      <c r="D390" s="480" t="s">
        <v>2245</v>
      </c>
      <c r="E390" s="51" t="s">
        <v>8</v>
      </c>
      <c r="F390" s="516">
        <f>4.4*0.1+1.4*0.2+(1.07+1.335+1.18+1.01+1.005+1.155+1.365+1.075+1+1.055+1.305+1.195+1.02+1.01+1.14+1.4)*0.192*0.1</f>
        <v>1.0717439999999998</v>
      </c>
      <c r="G390" s="510"/>
      <c r="H390" s="510"/>
      <c r="I390" s="490"/>
    </row>
    <row r="391" spans="1:9" ht="60">
      <c r="A391" s="223" t="s">
        <v>1761</v>
      </c>
      <c r="B391" s="482"/>
      <c r="C391" s="468"/>
      <c r="D391" s="480" t="s">
        <v>2246</v>
      </c>
      <c r="E391" s="51" t="s">
        <v>8</v>
      </c>
      <c r="F391" s="516">
        <f xml:space="preserve"> 3.7*0.1+1 *0.2 +(1.07+1.335+1.18+1.01+1.005+1.155+1.365+1.075+1+1.055+1.305+1.195+1.02+1.01+1.14+1.4)*0.192*0.1</f>
        <v>0.92174400000000001</v>
      </c>
      <c r="G391" s="510"/>
      <c r="H391" s="510"/>
      <c r="I391" s="490"/>
    </row>
    <row r="392" spans="1:9" ht="45">
      <c r="A392" s="223" t="s">
        <v>1762</v>
      </c>
      <c r="B392" s="482"/>
      <c r="C392" s="468"/>
      <c r="D392" s="480" t="s">
        <v>2247</v>
      </c>
      <c r="E392" s="51" t="s">
        <v>8</v>
      </c>
      <c r="F392" s="516">
        <f>3.7*0.1+ 2*0.2+ (1.09+1+1.065+1.335+1.18+1.01+1.005+1.155+1.365+1.075+1+1.055+1.305)*0.192*0.1</f>
        <v>1.051088</v>
      </c>
      <c r="G392" s="510"/>
      <c r="H392" s="510"/>
      <c r="I392" s="490"/>
    </row>
    <row r="393" spans="1:9">
      <c r="A393" s="223" t="s">
        <v>1763</v>
      </c>
      <c r="B393" s="482">
        <v>433351135</v>
      </c>
      <c r="C393" s="468"/>
      <c r="D393" s="441" t="s">
        <v>2248</v>
      </c>
      <c r="E393" s="51" t="s">
        <v>4</v>
      </c>
      <c r="F393" s="490">
        <f>SUM(F394:F398)</f>
        <v>82.695040000000006</v>
      </c>
      <c r="G393" s="510"/>
      <c r="H393" s="510">
        <f>F393*G393</f>
        <v>0</v>
      </c>
      <c r="I393" s="490">
        <f>0.0822*F393</f>
        <v>6.7975322880000002</v>
      </c>
    </row>
    <row r="394" spans="1:9" ht="45">
      <c r="A394" s="223" t="s">
        <v>1764</v>
      </c>
      <c r="B394" s="482"/>
      <c r="C394" s="468"/>
      <c r="D394" s="480" t="s">
        <v>2249</v>
      </c>
      <c r="E394" s="51" t="s">
        <v>4</v>
      </c>
      <c r="F394" s="490">
        <f>( 4.2+(1.075+1.065+1.335+1.18+1.01+1.005+1.155+1.365+1.075+1+1.055+1.305+1.195+1.02+1.01+1.14)*0.192)*2</f>
        <v>15.308160000000001</v>
      </c>
      <c r="G394" s="510"/>
      <c r="H394" s="510"/>
      <c r="I394" s="490"/>
    </row>
    <row r="395" spans="1:9" ht="45">
      <c r="A395" s="223" t="s">
        <v>1765</v>
      </c>
      <c r="B395" s="482"/>
      <c r="C395" s="468"/>
      <c r="D395" s="480" t="s">
        <v>2250</v>
      </c>
      <c r="E395" s="51" t="s">
        <v>4</v>
      </c>
      <c r="F395" s="490">
        <f>(4.2+1.2+ (1.065+1.335+1.18+1.01+1.005+1.155+1.365+1.075+1+1.055+1.305+1.195+1.02+1.01+1.14)*0.192)*2</f>
        <v>17.295360000000002</v>
      </c>
      <c r="G395" s="510"/>
      <c r="H395" s="510"/>
      <c r="I395" s="490"/>
    </row>
    <row r="396" spans="1:9" ht="30">
      <c r="A396" s="223" t="s">
        <v>1766</v>
      </c>
      <c r="B396" s="482"/>
      <c r="C396" s="468"/>
      <c r="D396" s="480" t="s">
        <v>2251</v>
      </c>
      <c r="E396" s="51" t="s">
        <v>4</v>
      </c>
      <c r="F396" s="490">
        <f>(4.4+1.4+(1.07+1.335+1.18+1.01+1.005+1.155+1.365+1.075+1+1.055+1.305+1.195+1.02+1.01+1.14+1.4)*0.192)*2</f>
        <v>18.634879999999999</v>
      </c>
      <c r="G396" s="510"/>
      <c r="H396" s="510"/>
      <c r="I396" s="490"/>
    </row>
    <row r="397" spans="1:9" ht="45">
      <c r="A397" s="223" t="s">
        <v>1767</v>
      </c>
      <c r="B397" s="482"/>
      <c r="C397" s="468"/>
      <c r="D397" s="480" t="s">
        <v>2252</v>
      </c>
      <c r="E397" s="51" t="s">
        <v>4</v>
      </c>
      <c r="F397" s="490">
        <f xml:space="preserve"> (3.7*1 +(1.07+1.335+1.18+1.01+1.005+1.155+1.365+1.075+1+1.055+1.305+1.195+1.02+1.01+1.14+1.4)*0.192)*2</f>
        <v>14.43488</v>
      </c>
      <c r="G397" s="510"/>
      <c r="H397" s="510"/>
      <c r="I397" s="490"/>
    </row>
    <row r="398" spans="1:9" ht="30">
      <c r="A398" s="223" t="s">
        <v>1768</v>
      </c>
      <c r="B398" s="482"/>
      <c r="C398" s="468"/>
      <c r="D398" s="480" t="s">
        <v>2253</v>
      </c>
      <c r="E398" s="51" t="s">
        <v>4</v>
      </c>
      <c r="F398" s="490">
        <f>(3.7+ 2+ (1.09+1+1.065+1.335+1.18+1.01+1.005+1.155+1.365+1.075+1+1.055+1.305)*0.192)*2</f>
        <v>17.02176</v>
      </c>
      <c r="G398" s="510"/>
      <c r="H398" s="510"/>
      <c r="I398" s="490"/>
    </row>
    <row r="399" spans="1:9" ht="14">
      <c r="A399" s="223" t="s">
        <v>1769</v>
      </c>
      <c r="B399" s="482">
        <v>433351136</v>
      </c>
      <c r="C399" s="468"/>
      <c r="D399" s="46" t="s">
        <v>2254</v>
      </c>
      <c r="E399" s="51" t="s">
        <v>4</v>
      </c>
      <c r="F399" s="490">
        <f>F393</f>
        <v>82.695040000000006</v>
      </c>
      <c r="G399" s="510"/>
      <c r="H399" s="510">
        <f t="shared" ref="H399:H404" si="9">F399*G399</f>
        <v>0</v>
      </c>
      <c r="I399" s="490">
        <f>0*F399</f>
        <v>0</v>
      </c>
    </row>
    <row r="400" spans="1:9" ht="42">
      <c r="A400" s="223" t="s">
        <v>1770</v>
      </c>
      <c r="B400" s="482"/>
      <c r="C400" s="468"/>
      <c r="D400" s="13" t="s">
        <v>2255</v>
      </c>
      <c r="E400" s="51" t="s">
        <v>4</v>
      </c>
      <c r="F400" s="490">
        <f>F399</f>
        <v>82.695040000000006</v>
      </c>
      <c r="G400" s="510"/>
      <c r="H400" s="510">
        <f t="shared" si="9"/>
        <v>0</v>
      </c>
      <c r="I400" s="490">
        <f>0*F400</f>
        <v>0</v>
      </c>
    </row>
    <row r="401" spans="1:9" ht="14">
      <c r="A401" s="223" t="s">
        <v>1771</v>
      </c>
      <c r="B401" s="482">
        <v>431351128</v>
      </c>
      <c r="C401" s="468"/>
      <c r="D401" s="13" t="s">
        <v>661</v>
      </c>
      <c r="E401" s="51" t="s">
        <v>4</v>
      </c>
      <c r="F401" s="490">
        <f>F399</f>
        <v>82.695040000000006</v>
      </c>
      <c r="G401" s="510"/>
      <c r="H401" s="510">
        <f t="shared" si="9"/>
        <v>0</v>
      </c>
      <c r="I401" s="490">
        <f>0*F401</f>
        <v>0</v>
      </c>
    </row>
    <row r="402" spans="1:9" ht="14">
      <c r="A402" s="223" t="s">
        <v>1772</v>
      </c>
      <c r="B402" s="482">
        <v>431351129</v>
      </c>
      <c r="C402" s="468"/>
      <c r="D402" s="46" t="s">
        <v>2254</v>
      </c>
      <c r="E402" s="51" t="s">
        <v>4</v>
      </c>
      <c r="F402" s="490">
        <f>F399</f>
        <v>82.695040000000006</v>
      </c>
      <c r="G402" s="510"/>
      <c r="H402" s="510">
        <f t="shared" si="9"/>
        <v>0</v>
      </c>
      <c r="I402" s="490">
        <f>0*F402</f>
        <v>0</v>
      </c>
    </row>
    <row r="403" spans="1:9">
      <c r="A403" s="223" t="s">
        <v>1773</v>
      </c>
      <c r="B403" s="482">
        <v>430361821</v>
      </c>
      <c r="C403" s="468"/>
      <c r="D403" s="465" t="s">
        <v>2256</v>
      </c>
      <c r="E403" s="51" t="s">
        <v>10</v>
      </c>
      <c r="F403" s="490">
        <f>F387*0.2</f>
        <v>0.95895039999999998</v>
      </c>
      <c r="G403" s="510"/>
      <c r="H403" s="510">
        <f t="shared" si="9"/>
        <v>0</v>
      </c>
      <c r="I403" s="490">
        <f>1.04927*F403</f>
        <v>1.0061978862079999</v>
      </c>
    </row>
    <row r="404" spans="1:9" ht="22">
      <c r="A404" s="223" t="s">
        <v>1774</v>
      </c>
      <c r="B404" s="433" t="s">
        <v>157</v>
      </c>
      <c r="C404" s="468"/>
      <c r="D404" s="465" t="s">
        <v>2257</v>
      </c>
      <c r="E404" s="51" t="s">
        <v>4</v>
      </c>
      <c r="F404" s="490">
        <f>SUM(F405:F409)</f>
        <v>42.547520000000006</v>
      </c>
      <c r="G404" s="510"/>
      <c r="H404" s="510">
        <f t="shared" si="9"/>
        <v>0</v>
      </c>
      <c r="I404" s="490">
        <f>0.0126*F404</f>
        <v>0.53609875200000012</v>
      </c>
    </row>
    <row r="405" spans="1:9" ht="45">
      <c r="A405" s="223" t="s">
        <v>1775</v>
      </c>
      <c r="B405" s="482"/>
      <c r="C405" s="468"/>
      <c r="D405" s="480" t="s">
        <v>2258</v>
      </c>
      <c r="E405" s="51" t="s">
        <v>4</v>
      </c>
      <c r="F405" s="516">
        <f>( 4.2+(1.075+1.065+1.335+1.18+1.01+1.005+1.155+1.365+1.075+1+1.055+1.305+1.195+1.02+1.01+1.14)*0.192)+1.2</f>
        <v>8.8540799999999997</v>
      </c>
      <c r="G405" s="510"/>
      <c r="H405" s="510"/>
      <c r="I405" s="490"/>
    </row>
    <row r="406" spans="1:9" ht="45">
      <c r="A406" s="223" t="s">
        <v>1776</v>
      </c>
      <c r="B406" s="482"/>
      <c r="C406" s="468"/>
      <c r="D406" s="480" t="s">
        <v>2259</v>
      </c>
      <c r="E406" s="51" t="s">
        <v>4</v>
      </c>
      <c r="F406" s="516">
        <f>(4.2+1.2+ (1.065+1.335+1.18+1.01+1.005+1.155+1.365+1.075+1+1.055+1.305+1.195+1.02+1.01+1.14)*0.192)</f>
        <v>8.6476800000000011</v>
      </c>
      <c r="G406" s="510"/>
      <c r="H406" s="510"/>
      <c r="I406" s="490"/>
    </row>
    <row r="407" spans="1:9" ht="30">
      <c r="A407" s="223" t="s">
        <v>1777</v>
      </c>
      <c r="B407" s="482"/>
      <c r="C407" s="468"/>
      <c r="D407" s="480" t="s">
        <v>2260</v>
      </c>
      <c r="E407" s="51" t="s">
        <v>4</v>
      </c>
      <c r="F407" s="516">
        <f>(4.4+1.4+(1.07+1.335+1.18+1.01+1.005+1.155+1.365+1.075+1+1.055+1.305+1.195+1.02+1.01+1.14+1.4)*0.192)</f>
        <v>9.3174399999999995</v>
      </c>
      <c r="G407" s="510"/>
      <c r="H407" s="510"/>
      <c r="I407" s="490"/>
    </row>
    <row r="408" spans="1:9" ht="45">
      <c r="A408" s="223" t="s">
        <v>1778</v>
      </c>
      <c r="B408" s="482"/>
      <c r="C408" s="468"/>
      <c r="D408" s="480" t="s">
        <v>2261</v>
      </c>
      <c r="E408" s="51" t="s">
        <v>4</v>
      </c>
      <c r="F408" s="516">
        <f xml:space="preserve"> (3.7*1 +(1.07+1.335+1.18+1.01+1.005+1.155+1.365+1.075+1+1.055+1.305+1.195+1.02+1.01+1.14+1.4)*0.192)</f>
        <v>7.2174399999999999</v>
      </c>
      <c r="G408" s="510"/>
      <c r="H408" s="510"/>
      <c r="I408" s="490"/>
    </row>
    <row r="409" spans="1:9" ht="30">
      <c r="A409" s="223" t="s">
        <v>1779</v>
      </c>
      <c r="B409" s="482"/>
      <c r="C409" s="468"/>
      <c r="D409" s="480" t="s">
        <v>2262</v>
      </c>
      <c r="E409" s="51" t="s">
        <v>4</v>
      </c>
      <c r="F409" s="516">
        <f>(3.7+ 2+ (1.09+1+1.065+1.335+1.18+1.01+1.005+1.155+1.365+1.075+1+1.055+1.305)*0.192)</f>
        <v>8.5108800000000002</v>
      </c>
      <c r="G409" s="510"/>
      <c r="H409" s="510"/>
      <c r="I409" s="490"/>
    </row>
    <row r="410" spans="1:9" ht="22">
      <c r="A410" s="223" t="s">
        <v>1780</v>
      </c>
      <c r="B410" s="433" t="s">
        <v>157</v>
      </c>
      <c r="C410" s="468"/>
      <c r="D410" s="491" t="s">
        <v>669</v>
      </c>
      <c r="E410" s="51"/>
      <c r="F410" s="484"/>
      <c r="G410" s="510"/>
      <c r="H410" s="510"/>
      <c r="I410" s="490"/>
    </row>
    <row r="411" spans="1:9" ht="30">
      <c r="A411" s="223" t="s">
        <v>1781</v>
      </c>
      <c r="B411" s="482"/>
      <c r="C411" s="468"/>
      <c r="D411" s="480" t="s">
        <v>670</v>
      </c>
      <c r="E411" s="51" t="s">
        <v>7</v>
      </c>
      <c r="F411" s="484">
        <v>300</v>
      </c>
      <c r="G411" s="510"/>
      <c r="H411" s="510">
        <f>F411*G411</f>
        <v>0</v>
      </c>
      <c r="I411" s="490">
        <f>0.005*F411</f>
        <v>1.5</v>
      </c>
    </row>
    <row r="412" spans="1:9" ht="45">
      <c r="A412" s="223" t="s">
        <v>1782</v>
      </c>
      <c r="B412" s="482"/>
      <c r="C412" s="468"/>
      <c r="D412" s="491" t="s">
        <v>2263</v>
      </c>
      <c r="E412" s="51"/>
      <c r="F412" s="484"/>
      <c r="G412" s="510"/>
      <c r="H412" s="510"/>
      <c r="I412" s="490"/>
    </row>
    <row r="413" spans="1:9" ht="22">
      <c r="A413" s="223" t="s">
        <v>1783</v>
      </c>
      <c r="B413" s="433" t="s">
        <v>157</v>
      </c>
      <c r="C413" s="468"/>
      <c r="D413" s="480" t="s">
        <v>671</v>
      </c>
      <c r="E413" s="51" t="s">
        <v>7</v>
      </c>
      <c r="F413" s="484">
        <v>1</v>
      </c>
      <c r="G413" s="510"/>
      <c r="H413" s="510">
        <f>F413*G413</f>
        <v>0</v>
      </c>
      <c r="I413" s="490">
        <f>0.001*F413</f>
        <v>1E-3</v>
      </c>
    </row>
    <row r="414" spans="1:9" ht="22">
      <c r="A414" s="223" t="s">
        <v>1784</v>
      </c>
      <c r="B414" s="433" t="s">
        <v>157</v>
      </c>
      <c r="C414" s="468"/>
      <c r="D414" s="480" t="s">
        <v>672</v>
      </c>
      <c r="E414" s="51" t="s">
        <v>7</v>
      </c>
      <c r="F414" s="484">
        <v>1</v>
      </c>
      <c r="G414" s="510"/>
      <c r="H414" s="510">
        <f>F414*G414</f>
        <v>0</v>
      </c>
      <c r="I414" s="490">
        <f>0.001*F414</f>
        <v>1E-3</v>
      </c>
    </row>
    <row r="415" spans="1:9" ht="22">
      <c r="A415" s="223" t="s">
        <v>1785</v>
      </c>
      <c r="B415" s="433" t="s">
        <v>157</v>
      </c>
      <c r="C415" s="468"/>
      <c r="D415" s="480" t="s">
        <v>673</v>
      </c>
      <c r="E415" s="51" t="s">
        <v>7</v>
      </c>
      <c r="F415" s="484">
        <v>5</v>
      </c>
      <c r="G415" s="510"/>
      <c r="H415" s="510">
        <f>F415*G415</f>
        <v>0</v>
      </c>
      <c r="I415" s="490">
        <f>0.001*F415</f>
        <v>5.0000000000000001E-3</v>
      </c>
    </row>
    <row r="416" spans="1:9" ht="22">
      <c r="A416" s="223" t="s">
        <v>1786</v>
      </c>
      <c r="B416" s="433" t="s">
        <v>157</v>
      </c>
      <c r="C416" s="468"/>
      <c r="D416" s="480" t="s">
        <v>674</v>
      </c>
      <c r="E416" s="51" t="s">
        <v>7</v>
      </c>
      <c r="F416" s="484">
        <v>1</v>
      </c>
      <c r="G416" s="510"/>
      <c r="H416" s="510">
        <f>F416*G416</f>
        <v>0</v>
      </c>
      <c r="I416" s="490">
        <f>0.001*F416</f>
        <v>1E-3</v>
      </c>
    </row>
    <row r="417" spans="1:9" ht="30">
      <c r="A417" s="223" t="s">
        <v>1787</v>
      </c>
      <c r="B417" s="482"/>
      <c r="C417" s="468"/>
      <c r="D417" s="491" t="s">
        <v>2264</v>
      </c>
      <c r="E417" s="51"/>
      <c r="F417" s="484"/>
      <c r="G417" s="510"/>
      <c r="H417" s="510"/>
      <c r="I417" s="490"/>
    </row>
    <row r="418" spans="1:9" ht="22">
      <c r="A418" s="223" t="s">
        <v>1788</v>
      </c>
      <c r="B418" s="433" t="s">
        <v>157</v>
      </c>
      <c r="C418" s="468"/>
      <c r="D418" s="480" t="s">
        <v>675</v>
      </c>
      <c r="E418" s="51" t="s">
        <v>7</v>
      </c>
      <c r="F418" s="484">
        <v>2</v>
      </c>
      <c r="G418" s="510"/>
      <c r="H418" s="510">
        <f t="shared" ref="H418:H423" si="10">F418*G418</f>
        <v>0</v>
      </c>
      <c r="I418" s="490">
        <f t="shared" ref="I418:I423" si="11">0.001*F418</f>
        <v>2E-3</v>
      </c>
    </row>
    <row r="419" spans="1:9" ht="22">
      <c r="A419" s="223" t="s">
        <v>1789</v>
      </c>
      <c r="B419" s="433" t="s">
        <v>157</v>
      </c>
      <c r="C419" s="468"/>
      <c r="D419" s="480" t="s">
        <v>676</v>
      </c>
      <c r="E419" s="51" t="s">
        <v>7</v>
      </c>
      <c r="F419" s="484">
        <v>2</v>
      </c>
      <c r="G419" s="510"/>
      <c r="H419" s="510">
        <f t="shared" si="10"/>
        <v>0</v>
      </c>
      <c r="I419" s="490">
        <f t="shared" si="11"/>
        <v>2E-3</v>
      </c>
    </row>
    <row r="420" spans="1:9" ht="22">
      <c r="A420" s="223" t="s">
        <v>1790</v>
      </c>
      <c r="B420" s="433" t="s">
        <v>157</v>
      </c>
      <c r="C420" s="468"/>
      <c r="D420" s="480" t="s">
        <v>677</v>
      </c>
      <c r="E420" s="51" t="s">
        <v>7</v>
      </c>
      <c r="F420" s="484">
        <v>1</v>
      </c>
      <c r="G420" s="510"/>
      <c r="H420" s="510">
        <f t="shared" si="10"/>
        <v>0</v>
      </c>
      <c r="I420" s="490">
        <f t="shared" si="11"/>
        <v>1E-3</v>
      </c>
    </row>
    <row r="421" spans="1:9" ht="22">
      <c r="A421" s="223" t="s">
        <v>1791</v>
      </c>
      <c r="B421" s="433" t="s">
        <v>157</v>
      </c>
      <c r="C421" s="468"/>
      <c r="D421" s="480" t="s">
        <v>678</v>
      </c>
      <c r="E421" s="51" t="s">
        <v>7</v>
      </c>
      <c r="F421" s="484">
        <v>1</v>
      </c>
      <c r="G421" s="510"/>
      <c r="H421" s="510">
        <f t="shared" si="10"/>
        <v>0</v>
      </c>
      <c r="I421" s="490">
        <f t="shared" si="11"/>
        <v>1E-3</v>
      </c>
    </row>
    <row r="422" spans="1:9" ht="22">
      <c r="A422" s="223" t="s">
        <v>1792</v>
      </c>
      <c r="B422" s="433" t="s">
        <v>157</v>
      </c>
      <c r="C422" s="468"/>
      <c r="D422" s="480" t="s">
        <v>679</v>
      </c>
      <c r="E422" s="51" t="s">
        <v>7</v>
      </c>
      <c r="F422" s="484">
        <v>1</v>
      </c>
      <c r="G422" s="510"/>
      <c r="H422" s="510">
        <f t="shared" si="10"/>
        <v>0</v>
      </c>
      <c r="I422" s="490">
        <f t="shared" si="11"/>
        <v>1E-3</v>
      </c>
    </row>
    <row r="423" spans="1:9" ht="22">
      <c r="A423" s="223" t="s">
        <v>1793</v>
      </c>
      <c r="B423" s="433" t="s">
        <v>157</v>
      </c>
      <c r="C423" s="468"/>
      <c r="D423" s="480" t="s">
        <v>680</v>
      </c>
      <c r="E423" s="51" t="s">
        <v>7</v>
      </c>
      <c r="F423" s="484">
        <v>6</v>
      </c>
      <c r="G423" s="510"/>
      <c r="H423" s="510">
        <f t="shared" si="10"/>
        <v>0</v>
      </c>
      <c r="I423" s="490">
        <f t="shared" si="11"/>
        <v>6.0000000000000001E-3</v>
      </c>
    </row>
    <row r="424" spans="1:9" ht="60">
      <c r="A424" s="223" t="s">
        <v>1794</v>
      </c>
      <c r="B424" s="482"/>
      <c r="C424" s="468"/>
      <c r="D424" s="491" t="s">
        <v>681</v>
      </c>
      <c r="E424" s="51"/>
      <c r="F424" s="484"/>
      <c r="G424" s="510"/>
      <c r="H424" s="510"/>
      <c r="I424" s="490"/>
    </row>
    <row r="425" spans="1:9" ht="22">
      <c r="A425" s="223" t="s">
        <v>1795</v>
      </c>
      <c r="B425" s="433" t="s">
        <v>157</v>
      </c>
      <c r="C425" s="468"/>
      <c r="D425" s="492" t="s">
        <v>682</v>
      </c>
      <c r="E425" s="213" t="s">
        <v>15</v>
      </c>
      <c r="F425" s="484">
        <v>50</v>
      </c>
      <c r="G425" s="510"/>
      <c r="H425" s="510">
        <f>F425*G425</f>
        <v>0</v>
      </c>
      <c r="I425" s="490">
        <f>0.001*F425</f>
        <v>0.05</v>
      </c>
    </row>
    <row r="426" spans="1:9" ht="22">
      <c r="A426" s="223" t="s">
        <v>1796</v>
      </c>
      <c r="B426" s="433" t="s">
        <v>157</v>
      </c>
      <c r="C426" s="468"/>
      <c r="D426" s="492" t="s">
        <v>683</v>
      </c>
      <c r="E426" s="213" t="s">
        <v>15</v>
      </c>
      <c r="F426" s="484">
        <v>70</v>
      </c>
      <c r="G426" s="510"/>
      <c r="H426" s="510">
        <f>F426*G426</f>
        <v>0</v>
      </c>
      <c r="I426" s="490">
        <f>0.001*F426</f>
        <v>7.0000000000000007E-2</v>
      </c>
    </row>
    <row r="427" spans="1:9" ht="22">
      <c r="A427" s="223" t="s">
        <v>1797</v>
      </c>
      <c r="B427" s="433" t="s">
        <v>157</v>
      </c>
      <c r="C427" s="468"/>
      <c r="D427" s="492" t="s">
        <v>684</v>
      </c>
      <c r="E427" s="213" t="s">
        <v>15</v>
      </c>
      <c r="F427" s="484">
        <v>80</v>
      </c>
      <c r="G427" s="510"/>
      <c r="H427" s="510">
        <f>F427*G427</f>
        <v>0</v>
      </c>
      <c r="I427" s="490">
        <f>0.001*F427</f>
        <v>0.08</v>
      </c>
    </row>
    <row r="428" spans="1:9" ht="15">
      <c r="A428" s="223" t="s">
        <v>1798</v>
      </c>
      <c r="B428" s="679"/>
      <c r="C428" s="669"/>
      <c r="D428" s="648" t="s">
        <v>426</v>
      </c>
      <c r="E428" s="670" t="s">
        <v>48</v>
      </c>
      <c r="F428" s="671" t="s">
        <v>60</v>
      </c>
      <c r="G428" s="719"/>
      <c r="H428" s="719">
        <f>SUM(H431:H487)</f>
        <v>0</v>
      </c>
      <c r="I428" s="672">
        <f>SUM(I431:I487)</f>
        <v>5.0950176346999978</v>
      </c>
    </row>
    <row r="429" spans="1:9" ht="14">
      <c r="A429" s="223" t="s">
        <v>1799</v>
      </c>
      <c r="B429" s="403"/>
      <c r="C429" s="277"/>
      <c r="D429" s="1" t="s">
        <v>425</v>
      </c>
      <c r="E429" s="415"/>
      <c r="F429" s="417"/>
      <c r="G429" s="511"/>
      <c r="H429" s="511"/>
      <c r="I429" s="511"/>
    </row>
    <row r="430" spans="1:9">
      <c r="A430" s="223" t="s">
        <v>1800</v>
      </c>
      <c r="B430" s="403"/>
      <c r="C430" s="277"/>
      <c r="D430" s="174" t="s">
        <v>424</v>
      </c>
      <c r="E430" s="415"/>
      <c r="F430" s="417"/>
      <c r="G430" s="511"/>
      <c r="H430" s="511"/>
      <c r="I430" s="511"/>
    </row>
    <row r="431" spans="1:9">
      <c r="A431" s="223" t="s">
        <v>1801</v>
      </c>
      <c r="B431" s="475">
        <v>342279113</v>
      </c>
      <c r="C431" s="277"/>
      <c r="D431" s="213" t="s">
        <v>2265</v>
      </c>
      <c r="E431" s="415" t="s">
        <v>2</v>
      </c>
      <c r="F431" s="417">
        <f>(6.7+2.49+0.115+2.24+1.65+2.535*2+2.2-0.3*2)+(1.135+0.95+0.9)</f>
        <v>22.849999999999998</v>
      </c>
      <c r="G431" s="511"/>
      <c r="H431" s="511">
        <f>F431*G431</f>
        <v>0</v>
      </c>
      <c r="I431" s="511">
        <f>0.02974*F431</f>
        <v>0.67955899999999991</v>
      </c>
    </row>
    <row r="432" spans="1:9" ht="39">
      <c r="A432" s="223" t="s">
        <v>1802</v>
      </c>
      <c r="B432" s="403"/>
      <c r="C432" s="277"/>
      <c r="D432" s="137" t="s">
        <v>370</v>
      </c>
      <c r="E432" s="415"/>
      <c r="F432" s="417"/>
      <c r="G432" s="511"/>
      <c r="H432" s="511"/>
      <c r="I432" s="511"/>
    </row>
    <row r="433" spans="1:9">
      <c r="A433" s="223" t="s">
        <v>1803</v>
      </c>
      <c r="B433" s="475">
        <v>342271401</v>
      </c>
      <c r="C433" s="277"/>
      <c r="D433" s="213" t="s">
        <v>2266</v>
      </c>
      <c r="E433" s="415" t="s">
        <v>4</v>
      </c>
      <c r="F433" s="417">
        <f>SUM(F434:F435)</f>
        <v>54.581099999999999</v>
      </c>
      <c r="G433" s="511"/>
      <c r="H433" s="511">
        <f>F433*G433</f>
        <v>0</v>
      </c>
      <c r="I433" s="511">
        <f>0.023877*F433</f>
        <v>1.3032329246999999</v>
      </c>
    </row>
    <row r="434" spans="1:9" ht="26">
      <c r="A434" s="223" t="s">
        <v>1804</v>
      </c>
      <c r="B434" s="403"/>
      <c r="C434" s="277"/>
      <c r="D434" s="137" t="s">
        <v>372</v>
      </c>
      <c r="E434" s="415"/>
      <c r="F434" s="408">
        <f>(6.7+2.49+0.115+2.24+1.65+2.535*2+2.2*2-0.3*2)*(0.19+2.4+0.35)</f>
        <v>64.871099999999998</v>
      </c>
      <c r="G434" s="511"/>
      <c r="H434" s="511"/>
      <c r="I434" s="511"/>
    </row>
    <row r="435" spans="1:9" ht="14">
      <c r="A435" s="223" t="s">
        <v>1805</v>
      </c>
      <c r="B435" s="403"/>
      <c r="C435" s="277"/>
      <c r="D435" s="57" t="s">
        <v>373</v>
      </c>
      <c r="E435" s="415"/>
      <c r="F435" s="417">
        <f>-( 1.1*2.1+0.8*2.1*3+0.7*2.1*2)</f>
        <v>-10.290000000000001</v>
      </c>
      <c r="G435" s="511"/>
      <c r="H435" s="511"/>
      <c r="I435" s="495"/>
    </row>
    <row r="436" spans="1:9" ht="26">
      <c r="A436" s="223" t="s">
        <v>1806</v>
      </c>
      <c r="B436" s="475">
        <v>311270331</v>
      </c>
      <c r="C436" s="277"/>
      <c r="D436" s="213" t="s">
        <v>2267</v>
      </c>
      <c r="E436" s="415" t="s">
        <v>4</v>
      </c>
      <c r="F436" s="417">
        <f>1.2*0.7</f>
        <v>0.84</v>
      </c>
      <c r="G436" s="511"/>
      <c r="H436" s="511">
        <f>F436*G436</f>
        <v>0</v>
      </c>
      <c r="I436" s="511">
        <f>0.37699*F436</f>
        <v>0.3166716</v>
      </c>
    </row>
    <row r="437" spans="1:9" ht="26">
      <c r="A437" s="223" t="s">
        <v>1807</v>
      </c>
      <c r="B437" s="475">
        <v>342271322</v>
      </c>
      <c r="C437" s="277"/>
      <c r="D437" s="209" t="s">
        <v>2268</v>
      </c>
      <c r="E437" s="415" t="s">
        <v>4</v>
      </c>
      <c r="F437" s="417">
        <f>(0.95+1.135)*2.7+0.9*0.6</f>
        <v>6.1695000000000002</v>
      </c>
      <c r="G437" s="511"/>
      <c r="H437" s="511">
        <f>F437*G437</f>
        <v>0</v>
      </c>
      <c r="I437" s="511">
        <f>0.1364*F437</f>
        <v>0.84151980000000004</v>
      </c>
    </row>
    <row r="438" spans="1:9">
      <c r="A438" s="223" t="s">
        <v>1808</v>
      </c>
      <c r="B438" s="475"/>
      <c r="C438" s="277"/>
      <c r="D438" s="213" t="s">
        <v>2269</v>
      </c>
      <c r="E438" s="415"/>
      <c r="F438" s="417"/>
      <c r="G438" s="511"/>
      <c r="H438" s="511"/>
      <c r="I438" s="511"/>
    </row>
    <row r="439" spans="1:9">
      <c r="A439" s="223" t="s">
        <v>1809</v>
      </c>
      <c r="B439" s="403">
        <v>342291112</v>
      </c>
      <c r="C439" s="277"/>
      <c r="D439" s="209" t="s">
        <v>377</v>
      </c>
      <c r="E439" s="414" t="s">
        <v>2</v>
      </c>
      <c r="F439" s="409">
        <f>2.75*11</f>
        <v>30.25</v>
      </c>
      <c r="G439" s="510"/>
      <c r="H439" s="510">
        <f>F439*G439</f>
        <v>0</v>
      </c>
      <c r="I439" s="511">
        <f>0.00012*F439</f>
        <v>3.63E-3</v>
      </c>
    </row>
    <row r="440" spans="1:9" ht="65">
      <c r="A440" s="223" t="s">
        <v>1810</v>
      </c>
      <c r="B440" s="403" t="s">
        <v>378</v>
      </c>
      <c r="C440" s="277"/>
      <c r="D440" s="213" t="s">
        <v>379</v>
      </c>
      <c r="E440" s="414" t="s">
        <v>2</v>
      </c>
      <c r="F440" s="409">
        <f>6.7+4.845+1.65+2.535*2+2.2*2-0.6</f>
        <v>22.064999999999998</v>
      </c>
      <c r="G440" s="510"/>
      <c r="H440" s="510">
        <f>F440*G440</f>
        <v>0</v>
      </c>
      <c r="I440" s="511">
        <f>0.0003*F440</f>
        <v>6.6194999999999986E-3</v>
      </c>
    </row>
    <row r="441" spans="1:9">
      <c r="A441" s="223" t="s">
        <v>1811</v>
      </c>
      <c r="B441" s="403" t="s">
        <v>380</v>
      </c>
      <c r="C441" s="277"/>
      <c r="D441" s="137" t="s">
        <v>381</v>
      </c>
      <c r="E441" s="415" t="s">
        <v>7</v>
      </c>
      <c r="F441" s="417">
        <v>2</v>
      </c>
      <c r="G441" s="511"/>
      <c r="H441" s="511">
        <f>F441*G441</f>
        <v>0</v>
      </c>
      <c r="I441" s="511">
        <f>0.0291*F441</f>
        <v>5.8200000000000002E-2</v>
      </c>
    </row>
    <row r="442" spans="1:9">
      <c r="A442" s="223" t="s">
        <v>1812</v>
      </c>
      <c r="B442" s="403" t="s">
        <v>382</v>
      </c>
      <c r="C442" s="277"/>
      <c r="D442" s="137" t="s">
        <v>383</v>
      </c>
      <c r="E442" s="415" t="s">
        <v>7</v>
      </c>
      <c r="F442" s="417">
        <v>3</v>
      </c>
      <c r="G442" s="511"/>
      <c r="H442" s="511">
        <f>F442*G442</f>
        <v>0</v>
      </c>
      <c r="I442" s="511">
        <f>0.0363*F442</f>
        <v>0.1089</v>
      </c>
    </row>
    <row r="443" spans="1:9">
      <c r="A443" s="223" t="s">
        <v>1813</v>
      </c>
      <c r="B443" s="403">
        <v>317151106</v>
      </c>
      <c r="C443" s="277"/>
      <c r="D443" s="137" t="s">
        <v>384</v>
      </c>
      <c r="E443" s="415" t="s">
        <v>7</v>
      </c>
      <c r="F443" s="417">
        <v>1</v>
      </c>
      <c r="G443" s="511"/>
      <c r="H443" s="511">
        <f>F443*G443</f>
        <v>0</v>
      </c>
      <c r="I443" s="511">
        <f>0.04494*F443</f>
        <v>4.4940000000000001E-2</v>
      </c>
    </row>
    <row r="444" spans="1:9">
      <c r="A444" s="223" t="s">
        <v>1814</v>
      </c>
      <c r="B444" s="403"/>
      <c r="C444" s="277"/>
      <c r="D444" s="137" t="s">
        <v>2270</v>
      </c>
      <c r="E444" s="415"/>
      <c r="F444" s="417"/>
      <c r="G444" s="511"/>
      <c r="H444" s="511"/>
      <c r="I444" s="511"/>
    </row>
    <row r="445" spans="1:9" ht="14">
      <c r="A445" s="223" t="s">
        <v>1815</v>
      </c>
      <c r="B445" s="403"/>
      <c r="C445" s="277"/>
      <c r="D445" s="1" t="s">
        <v>823</v>
      </c>
      <c r="E445" s="415"/>
      <c r="F445" s="417"/>
      <c r="G445" s="511"/>
      <c r="H445" s="511"/>
      <c r="I445" s="495"/>
    </row>
    <row r="446" spans="1:9" ht="39">
      <c r="A446" s="223" t="s">
        <v>1816</v>
      </c>
      <c r="B446" s="403" t="s">
        <v>378</v>
      </c>
      <c r="C446" s="277"/>
      <c r="D446" s="213" t="s">
        <v>2271</v>
      </c>
      <c r="E446" s="415" t="s">
        <v>4</v>
      </c>
      <c r="F446" s="417">
        <f>SUM(F447:F452)</f>
        <v>55.606150000000007</v>
      </c>
      <c r="G446" s="511"/>
      <c r="H446" s="511">
        <f>F446*G446</f>
        <v>0</v>
      </c>
      <c r="I446" s="511">
        <f>0.00472*F446</f>
        <v>0.26246102800000004</v>
      </c>
    </row>
    <row r="447" spans="1:9" ht="14">
      <c r="A447" s="223" t="s">
        <v>1817</v>
      </c>
      <c r="B447" s="403"/>
      <c r="C447" s="277"/>
      <c r="D447" s="137" t="s">
        <v>387</v>
      </c>
      <c r="E447" s="415"/>
      <c r="F447" s="417"/>
      <c r="G447" s="511"/>
      <c r="H447" s="511"/>
      <c r="I447" s="495"/>
    </row>
    <row r="448" spans="1:9" ht="14">
      <c r="A448" s="223" t="s">
        <v>1818</v>
      </c>
      <c r="B448" s="403"/>
      <c r="C448" s="277"/>
      <c r="D448" s="137" t="s">
        <v>388</v>
      </c>
      <c r="E448" s="415"/>
      <c r="F448" s="417">
        <f>(2.995+2.2)*2*2.45-(0.8*2.1+0.7*2)</f>
        <v>22.375500000000002</v>
      </c>
      <c r="G448" s="511"/>
      <c r="H448" s="511"/>
      <c r="I448" s="495"/>
    </row>
    <row r="449" spans="1:9" ht="14">
      <c r="A449" s="223" t="s">
        <v>1819</v>
      </c>
      <c r="B449" s="403"/>
      <c r="C449" s="277"/>
      <c r="D449" s="57" t="s">
        <v>389</v>
      </c>
      <c r="E449" s="415"/>
      <c r="F449" s="417">
        <f>(1.65+0.95)*2*2.45-0.7*2.1</f>
        <v>11.269999999999998</v>
      </c>
      <c r="G449" s="511"/>
      <c r="H449" s="511"/>
      <c r="I449" s="495"/>
    </row>
    <row r="450" spans="1:9" ht="14">
      <c r="A450" s="223" t="s">
        <v>1820</v>
      </c>
      <c r="B450" s="403"/>
      <c r="C450" s="277"/>
      <c r="D450" s="57" t="s">
        <v>390</v>
      </c>
      <c r="E450" s="415"/>
      <c r="F450" s="417">
        <f>(1.65+1.1135)*2*2.45-0.7*2.1</f>
        <v>12.071149999999999</v>
      </c>
      <c r="G450" s="511"/>
      <c r="H450" s="511"/>
      <c r="I450" s="495"/>
    </row>
    <row r="451" spans="1:9" ht="14">
      <c r="A451" s="223" t="s">
        <v>1821</v>
      </c>
      <c r="B451" s="403"/>
      <c r="C451" s="277"/>
      <c r="D451" s="57" t="s">
        <v>391</v>
      </c>
      <c r="E451" s="415"/>
      <c r="F451" s="417">
        <f>1.2*0.7</f>
        <v>0.84</v>
      </c>
      <c r="G451" s="511"/>
      <c r="H451" s="511"/>
      <c r="I451" s="495"/>
    </row>
    <row r="452" spans="1:9" ht="14">
      <c r="A452" s="223" t="s">
        <v>1822</v>
      </c>
      <c r="B452" s="403"/>
      <c r="C452" s="277"/>
      <c r="D452" s="137" t="s">
        <v>826</v>
      </c>
      <c r="E452" s="415"/>
      <c r="F452" s="417">
        <f>F437+0.9*1.5*2+0.2*0.9</f>
        <v>9.0495000000000001</v>
      </c>
      <c r="G452" s="511"/>
      <c r="H452" s="511"/>
      <c r="I452" s="495"/>
    </row>
    <row r="453" spans="1:9" ht="27">
      <c r="A453" s="223" t="s">
        <v>1823</v>
      </c>
      <c r="B453" s="403" t="s">
        <v>378</v>
      </c>
      <c r="C453" s="277"/>
      <c r="D453" s="13" t="s">
        <v>393</v>
      </c>
      <c r="E453" s="415" t="s">
        <v>4</v>
      </c>
      <c r="F453" s="417">
        <f>F446</f>
        <v>55.606150000000007</v>
      </c>
      <c r="G453" s="511"/>
      <c r="H453" s="511">
        <f>F453*G453</f>
        <v>0</v>
      </c>
      <c r="I453" s="517">
        <f>0.002*F453</f>
        <v>0.11121230000000001</v>
      </c>
    </row>
    <row r="454" spans="1:9" ht="26">
      <c r="A454" s="223" t="s">
        <v>1824</v>
      </c>
      <c r="B454" s="403" t="s">
        <v>378</v>
      </c>
      <c r="C454" s="277"/>
      <c r="D454" s="137" t="s">
        <v>394</v>
      </c>
      <c r="E454" s="415" t="s">
        <v>4</v>
      </c>
      <c r="F454" s="417">
        <f>1*2.4*2</f>
        <v>4.8</v>
      </c>
      <c r="G454" s="511"/>
      <c r="H454" s="511">
        <f>F454*G454</f>
        <v>0</v>
      </c>
      <c r="I454" s="511">
        <f>0*F454</f>
        <v>0</v>
      </c>
    </row>
    <row r="455" spans="1:9">
      <c r="A455" s="223" t="s">
        <v>1825</v>
      </c>
      <c r="B455" s="475">
        <v>611341121</v>
      </c>
      <c r="C455" s="277"/>
      <c r="D455" s="213" t="s">
        <v>2272</v>
      </c>
      <c r="E455" s="415" t="s">
        <v>4</v>
      </c>
      <c r="F455" s="417">
        <f>6.7*4.235</f>
        <v>28.374500000000001</v>
      </c>
      <c r="G455" s="511"/>
      <c r="H455" s="511">
        <f>F455*G455</f>
        <v>0</v>
      </c>
      <c r="I455" s="511">
        <f>0.01153*F455</f>
        <v>0.32715798500000004</v>
      </c>
    </row>
    <row r="456" spans="1:9">
      <c r="A456" s="223" t="s">
        <v>1826</v>
      </c>
      <c r="B456" s="403"/>
      <c r="C456" s="277"/>
      <c r="D456" s="137" t="s">
        <v>396</v>
      </c>
      <c r="E456" s="415"/>
      <c r="F456" s="417"/>
      <c r="G456" s="511"/>
      <c r="H456" s="511"/>
      <c r="I456" s="511"/>
    </row>
    <row r="457" spans="1:9">
      <c r="A457" s="223" t="s">
        <v>1827</v>
      </c>
      <c r="B457" s="475">
        <v>629999022</v>
      </c>
      <c r="C457" s="277"/>
      <c r="D457" s="209" t="s">
        <v>2273</v>
      </c>
      <c r="E457" s="415" t="s">
        <v>2</v>
      </c>
      <c r="F457" s="417">
        <v>3</v>
      </c>
      <c r="G457" s="511"/>
      <c r="H457" s="511">
        <f>F457*G457</f>
        <v>0</v>
      </c>
      <c r="I457" s="511">
        <f>0*F457</f>
        <v>0</v>
      </c>
    </row>
    <row r="458" spans="1:9" ht="22">
      <c r="A458" s="223" t="s">
        <v>1828</v>
      </c>
      <c r="B458" s="433" t="s">
        <v>157</v>
      </c>
      <c r="C458" s="468"/>
      <c r="D458" s="488" t="s">
        <v>2274</v>
      </c>
      <c r="E458" s="51" t="s">
        <v>692</v>
      </c>
      <c r="F458" s="484">
        <f>15.2+13.96+15.25+8.1</f>
        <v>52.51</v>
      </c>
      <c r="G458" s="510"/>
      <c r="H458" s="510">
        <f>F458*G458</f>
        <v>0</v>
      </c>
      <c r="I458" s="511">
        <f>0.003*F458</f>
        <v>0.15753</v>
      </c>
    </row>
    <row r="459" spans="1:9" ht="14">
      <c r="A459" s="223" t="s">
        <v>1829</v>
      </c>
      <c r="B459" s="475"/>
      <c r="C459" s="277"/>
      <c r="D459" s="1" t="s">
        <v>398</v>
      </c>
      <c r="E459" s="415"/>
      <c r="F459" s="417"/>
      <c r="G459" s="511"/>
      <c r="H459" s="511"/>
      <c r="I459" s="511"/>
    </row>
    <row r="460" spans="1:9" ht="26">
      <c r="A460" s="223" t="s">
        <v>1830</v>
      </c>
      <c r="B460" s="403" t="s">
        <v>378</v>
      </c>
      <c r="C460" s="277"/>
      <c r="D460" s="13" t="s">
        <v>399</v>
      </c>
      <c r="E460" s="415" t="s">
        <v>400</v>
      </c>
      <c r="F460" s="417">
        <v>4</v>
      </c>
      <c r="G460" s="511"/>
      <c r="H460" s="511">
        <f t="shared" ref="H460:H465" si="12">F460*G460</f>
        <v>0</v>
      </c>
      <c r="I460" s="511">
        <f>0.003*F460</f>
        <v>1.2E-2</v>
      </c>
    </row>
    <row r="461" spans="1:9" ht="22">
      <c r="A461" s="223" t="s">
        <v>1831</v>
      </c>
      <c r="B461" s="403" t="s">
        <v>378</v>
      </c>
      <c r="C461" s="277"/>
      <c r="D461" s="13" t="s">
        <v>401</v>
      </c>
      <c r="E461" s="415" t="s">
        <v>400</v>
      </c>
      <c r="F461" s="417">
        <v>2</v>
      </c>
      <c r="G461" s="511"/>
      <c r="H461" s="511">
        <f t="shared" si="12"/>
        <v>0</v>
      </c>
      <c r="I461" s="511">
        <v>0.02</v>
      </c>
    </row>
    <row r="462" spans="1:9" ht="28">
      <c r="A462" s="223" t="s">
        <v>1832</v>
      </c>
      <c r="B462" s="403" t="s">
        <v>378</v>
      </c>
      <c r="C462" s="277"/>
      <c r="D462" s="13" t="s">
        <v>402</v>
      </c>
      <c r="E462" s="415" t="s">
        <v>400</v>
      </c>
      <c r="F462" s="417">
        <v>1</v>
      </c>
      <c r="G462" s="511"/>
      <c r="H462" s="511">
        <f t="shared" si="12"/>
        <v>0</v>
      </c>
      <c r="I462" s="511">
        <v>0.02</v>
      </c>
    </row>
    <row r="463" spans="1:9" ht="26">
      <c r="A463" s="223" t="s">
        <v>1833</v>
      </c>
      <c r="B463" s="403">
        <v>952901111</v>
      </c>
      <c r="C463" s="277"/>
      <c r="D463" s="213" t="s">
        <v>2275</v>
      </c>
      <c r="E463" s="415" t="s">
        <v>4</v>
      </c>
      <c r="F463" s="417">
        <f>7.92*9.84</f>
        <v>77.9328</v>
      </c>
      <c r="G463" s="511"/>
      <c r="H463" s="511">
        <f t="shared" si="12"/>
        <v>0</v>
      </c>
      <c r="I463" s="511">
        <f>0.00004*F463</f>
        <v>3.1173120000000001E-3</v>
      </c>
    </row>
    <row r="464" spans="1:9" ht="22">
      <c r="A464" s="223" t="s">
        <v>1834</v>
      </c>
      <c r="B464" s="433" t="s">
        <v>157</v>
      </c>
      <c r="C464" s="493"/>
      <c r="D464" s="488" t="s">
        <v>2276</v>
      </c>
      <c r="E464" s="51" t="s">
        <v>7</v>
      </c>
      <c r="F464" s="484">
        <v>16</v>
      </c>
      <c r="G464" s="510"/>
      <c r="H464" s="510">
        <f t="shared" si="12"/>
        <v>0</v>
      </c>
      <c r="I464" s="511">
        <f>0.008*F464</f>
        <v>0.128</v>
      </c>
    </row>
    <row r="465" spans="1:9" ht="14">
      <c r="A465" s="223" t="s">
        <v>1835</v>
      </c>
      <c r="B465" s="402">
        <v>998012021</v>
      </c>
      <c r="C465" s="277"/>
      <c r="D465" s="494" t="s">
        <v>2277</v>
      </c>
      <c r="E465" s="415" t="s">
        <v>10</v>
      </c>
      <c r="F465" s="417">
        <f>SUM(I431:I462)</f>
        <v>4.2736341376999984</v>
      </c>
      <c r="G465" s="511"/>
      <c r="H465" s="511">
        <f t="shared" si="12"/>
        <v>0</v>
      </c>
      <c r="I465" s="510"/>
    </row>
    <row r="466" spans="1:9" ht="14">
      <c r="A466" s="223" t="s">
        <v>1836</v>
      </c>
      <c r="B466" s="403"/>
      <c r="C466" s="277"/>
      <c r="D466" s="1" t="s">
        <v>405</v>
      </c>
      <c r="E466" s="415"/>
      <c r="F466" s="417"/>
      <c r="G466" s="511"/>
      <c r="H466" s="511"/>
      <c r="I466" s="511"/>
    </row>
    <row r="467" spans="1:9" ht="26">
      <c r="A467" s="223" t="s">
        <v>1837</v>
      </c>
      <c r="B467" s="475">
        <v>763131441</v>
      </c>
      <c r="C467" s="277"/>
      <c r="D467" s="209" t="s">
        <v>2278</v>
      </c>
      <c r="E467" s="415" t="s">
        <v>4</v>
      </c>
      <c r="F467" s="417">
        <f>SUM(F468:F469)</f>
        <v>11.688750000000001</v>
      </c>
      <c r="G467" s="511"/>
      <c r="H467" s="511">
        <f>F467*G467</f>
        <v>0</v>
      </c>
      <c r="I467" s="511">
        <f>0.02487*F467</f>
        <v>0.29069921250000003</v>
      </c>
    </row>
    <row r="468" spans="1:9" ht="14">
      <c r="A468" s="223" t="s">
        <v>1838</v>
      </c>
      <c r="C468" s="277"/>
      <c r="D468" s="57" t="s">
        <v>407</v>
      </c>
      <c r="E468" s="415"/>
      <c r="F468" s="417">
        <f>(2.49*2.535)</f>
        <v>6.3121500000000008</v>
      </c>
      <c r="G468" s="511"/>
      <c r="H468" s="511"/>
      <c r="I468" s="511"/>
    </row>
    <row r="469" spans="1:9" ht="14">
      <c r="A469" s="223" t="s">
        <v>1839</v>
      </c>
      <c r="B469" s="403"/>
      <c r="C469" s="277"/>
      <c r="D469" s="57" t="s">
        <v>408</v>
      </c>
      <c r="E469" s="415"/>
      <c r="F469" s="417">
        <f>(3.09*1.74)</f>
        <v>5.3765999999999998</v>
      </c>
      <c r="G469" s="511"/>
      <c r="H469" s="511"/>
      <c r="I469" s="511"/>
    </row>
    <row r="470" spans="1:9" ht="39">
      <c r="A470" s="223" t="s">
        <v>1840</v>
      </c>
      <c r="B470" s="403">
        <v>763131557</v>
      </c>
      <c r="C470" s="277"/>
      <c r="D470" s="213" t="s">
        <v>2279</v>
      </c>
      <c r="E470" s="415" t="s">
        <v>4</v>
      </c>
      <c r="F470" s="417">
        <f>SUM(F471:F473)</f>
        <v>10.029250000000001</v>
      </c>
      <c r="G470" s="511"/>
      <c r="H470" s="511">
        <f>F470*G470</f>
        <v>0</v>
      </c>
      <c r="I470" s="511">
        <f>0.01537*F470</f>
        <v>0.15414957250000003</v>
      </c>
    </row>
    <row r="471" spans="1:9" ht="14">
      <c r="A471" s="223" t="s">
        <v>1841</v>
      </c>
      <c r="B471" s="403"/>
      <c r="C471" s="277"/>
      <c r="D471" s="57" t="s">
        <v>410</v>
      </c>
      <c r="E471" s="415"/>
      <c r="F471" s="417">
        <f>(2.995*2.2)</f>
        <v>6.5890000000000004</v>
      </c>
      <c r="G471" s="511"/>
      <c r="H471" s="511"/>
      <c r="I471" s="511"/>
    </row>
    <row r="472" spans="1:9" ht="14">
      <c r="A472" s="223" t="s">
        <v>1842</v>
      </c>
      <c r="B472" s="403"/>
      <c r="C472" s="277"/>
      <c r="D472" s="57" t="s">
        <v>411</v>
      </c>
      <c r="E472" s="415"/>
      <c r="F472" s="417">
        <f>(1.65*0.95)</f>
        <v>1.5674999999999999</v>
      </c>
      <c r="G472" s="511"/>
      <c r="H472" s="511"/>
      <c r="I472" s="511"/>
    </row>
    <row r="473" spans="1:9" ht="14">
      <c r="A473" s="223" t="s">
        <v>1843</v>
      </c>
      <c r="B473" s="403"/>
      <c r="C473" s="277"/>
      <c r="D473" s="57" t="s">
        <v>412</v>
      </c>
      <c r="E473" s="415"/>
      <c r="F473" s="417">
        <f>(1.65*1.135)</f>
        <v>1.8727499999999999</v>
      </c>
      <c r="G473" s="511"/>
      <c r="H473" s="511"/>
      <c r="I473" s="511"/>
    </row>
    <row r="474" spans="1:9" ht="14">
      <c r="A474" s="223" t="s">
        <v>1844</v>
      </c>
      <c r="B474" s="403">
        <v>763131761</v>
      </c>
      <c r="C474" s="277"/>
      <c r="D474" s="495" t="s">
        <v>2280</v>
      </c>
      <c r="E474" s="415" t="s">
        <v>4</v>
      </c>
      <c r="F474" s="417">
        <f>SUM(F475:F476)</f>
        <v>3.4402499999999998</v>
      </c>
      <c r="G474" s="511"/>
      <c r="H474" s="511">
        <f>F474*G474</f>
        <v>0</v>
      </c>
      <c r="I474" s="511">
        <f>0*F474</f>
        <v>0</v>
      </c>
    </row>
    <row r="475" spans="1:9" ht="14">
      <c r="A475" s="223" t="s">
        <v>1845</v>
      </c>
      <c r="B475" s="403"/>
      <c r="C475" s="277"/>
      <c r="D475" s="57" t="s">
        <v>411</v>
      </c>
      <c r="E475" s="415"/>
      <c r="F475" s="417">
        <f>(1.65*0.95)</f>
        <v>1.5674999999999999</v>
      </c>
      <c r="G475" s="511"/>
      <c r="H475" s="511"/>
      <c r="I475" s="511"/>
    </row>
    <row r="476" spans="1:9" ht="14">
      <c r="A476" s="223" t="s">
        <v>1846</v>
      </c>
      <c r="B476" s="403"/>
      <c r="C476" s="277"/>
      <c r="D476" s="57" t="s">
        <v>412</v>
      </c>
      <c r="E476" s="415"/>
      <c r="F476" s="417">
        <f>(1.65*1.135)</f>
        <v>1.8727499999999999</v>
      </c>
      <c r="G476" s="511"/>
      <c r="H476" s="511"/>
      <c r="I476" s="511"/>
    </row>
    <row r="477" spans="1:9" ht="30">
      <c r="A477" s="223" t="s">
        <v>1847</v>
      </c>
      <c r="B477" s="433" t="s">
        <v>943</v>
      </c>
      <c r="C477" s="496"/>
      <c r="D477" s="497" t="s">
        <v>2281</v>
      </c>
      <c r="E477" s="51" t="s">
        <v>4</v>
      </c>
      <c r="F477" s="484">
        <f>(0.95+1.135)*2.75+(2.085+0.1)*2.75+(0.9+0.2)*1.5+0.9*0.2</f>
        <v>13.5725</v>
      </c>
      <c r="G477" s="510"/>
      <c r="H477" s="511">
        <f>F477*G477</f>
        <v>0</v>
      </c>
      <c r="I477" s="511">
        <f>0.01624*F477</f>
        <v>0.22041740000000001</v>
      </c>
    </row>
    <row r="478" spans="1:9" ht="26">
      <c r="A478" s="223" t="s">
        <v>1848</v>
      </c>
      <c r="B478" s="433" t="s">
        <v>157</v>
      </c>
      <c r="C478" s="468"/>
      <c r="D478" s="498" t="s">
        <v>2282</v>
      </c>
      <c r="E478" s="51" t="s">
        <v>7</v>
      </c>
      <c r="F478" s="489">
        <v>5</v>
      </c>
      <c r="G478" s="510"/>
      <c r="H478" s="511">
        <f>F478*G478</f>
        <v>0</v>
      </c>
      <c r="I478" s="511">
        <f>0.005*F478</f>
        <v>2.5000000000000001E-2</v>
      </c>
    </row>
    <row r="479" spans="1:9">
      <c r="A479" s="223" t="s">
        <v>1849</v>
      </c>
      <c r="B479" s="402">
        <v>998763301</v>
      </c>
      <c r="C479" s="277"/>
      <c r="D479" s="213" t="s">
        <v>2283</v>
      </c>
      <c r="E479" s="165" t="s">
        <v>10</v>
      </c>
      <c r="F479" s="417">
        <f>SUM(I467:I478)</f>
        <v>0.69026618500000003</v>
      </c>
      <c r="G479" s="511"/>
      <c r="H479" s="511">
        <f>F479*G479</f>
        <v>0</v>
      </c>
      <c r="I479" s="518"/>
    </row>
    <row r="480" spans="1:9" ht="14">
      <c r="A480" s="223" t="s">
        <v>1850</v>
      </c>
      <c r="B480" s="679"/>
      <c r="C480" s="669"/>
      <c r="D480" s="667" t="s">
        <v>415</v>
      </c>
      <c r="E480" s="661"/>
      <c r="F480" s="680"/>
      <c r="G480" s="681"/>
      <c r="H480" s="681"/>
      <c r="I480" s="681"/>
    </row>
    <row r="481" spans="1:9" ht="14">
      <c r="A481" s="223" t="s">
        <v>1851</v>
      </c>
      <c r="B481" s="475">
        <v>784351031</v>
      </c>
      <c r="C481" s="277"/>
      <c r="D481" s="495" t="s">
        <v>2284</v>
      </c>
      <c r="E481" s="415" t="s">
        <v>4</v>
      </c>
      <c r="F481" s="417">
        <f>SUM(F482:F485)</f>
        <v>50.09375</v>
      </c>
      <c r="G481" s="511"/>
      <c r="H481" s="511">
        <f>F481*G481</f>
        <v>0</v>
      </c>
      <c r="I481" s="511"/>
    </row>
    <row r="482" spans="1:9" ht="14">
      <c r="A482" s="223" t="s">
        <v>1852</v>
      </c>
      <c r="B482" s="403"/>
      <c r="C482" s="277"/>
      <c r="D482" s="57" t="s">
        <v>417</v>
      </c>
      <c r="E482" s="415"/>
      <c r="F482" s="417"/>
      <c r="G482" s="511"/>
      <c r="H482" s="511"/>
      <c r="I482" s="511"/>
    </row>
    <row r="483" spans="1:9" ht="14">
      <c r="A483" s="223" t="s">
        <v>1853</v>
      </c>
      <c r="B483" s="403"/>
      <c r="C483" s="277"/>
      <c r="D483" s="57" t="s">
        <v>418</v>
      </c>
      <c r="E483" s="415"/>
      <c r="F483" s="417">
        <f>6.7*4.235</f>
        <v>28.374500000000001</v>
      </c>
      <c r="G483" s="511"/>
      <c r="H483" s="511"/>
      <c r="I483" s="511"/>
    </row>
    <row r="484" spans="1:9" ht="14">
      <c r="A484" s="223" t="s">
        <v>1854</v>
      </c>
      <c r="B484" s="403"/>
      <c r="C484" s="277"/>
      <c r="D484" s="57" t="s">
        <v>419</v>
      </c>
      <c r="E484" s="415"/>
      <c r="F484" s="417">
        <v>11.69</v>
      </c>
      <c r="G484" s="511"/>
      <c r="H484" s="511"/>
      <c r="I484" s="511"/>
    </row>
    <row r="485" spans="1:9" ht="14">
      <c r="A485" s="223" t="s">
        <v>1855</v>
      </c>
      <c r="B485" s="403"/>
      <c r="C485" s="277"/>
      <c r="D485" s="57" t="s">
        <v>420</v>
      </c>
      <c r="E485" s="415"/>
      <c r="F485" s="417">
        <f>F470</f>
        <v>10.029250000000001</v>
      </c>
      <c r="G485" s="511"/>
      <c r="H485" s="511"/>
      <c r="I485" s="511"/>
    </row>
    <row r="486" spans="1:9" ht="14">
      <c r="A486" s="223" t="s">
        <v>1856</v>
      </c>
      <c r="B486" s="679"/>
      <c r="C486" s="669"/>
      <c r="D486" s="667" t="s">
        <v>421</v>
      </c>
      <c r="E486" s="661"/>
      <c r="F486" s="680"/>
      <c r="G486" s="681"/>
      <c r="H486" s="681"/>
      <c r="I486" s="681"/>
    </row>
    <row r="487" spans="1:9" ht="26">
      <c r="A487" s="223" t="s">
        <v>1857</v>
      </c>
      <c r="B487" s="403" t="s">
        <v>378</v>
      </c>
      <c r="C487" s="277"/>
      <c r="D487" s="13" t="s">
        <v>422</v>
      </c>
      <c r="E487" s="415" t="s">
        <v>400</v>
      </c>
      <c r="F487" s="417">
        <v>4</v>
      </c>
      <c r="G487" s="511"/>
      <c r="H487" s="511">
        <f>F487*G487</f>
        <v>0</v>
      </c>
      <c r="I487" s="511"/>
    </row>
    <row r="488" spans="1:9" ht="15">
      <c r="A488" s="223" t="s">
        <v>1858</v>
      </c>
      <c r="B488" s="658"/>
      <c r="C488" s="674"/>
      <c r="D488" s="648" t="s">
        <v>703</v>
      </c>
      <c r="E488" s="682" t="s">
        <v>48</v>
      </c>
      <c r="F488" s="671" t="s">
        <v>60</v>
      </c>
      <c r="G488" s="681"/>
      <c r="H488" s="719">
        <f>SUM(H491:H614)</f>
        <v>0</v>
      </c>
      <c r="I488" s="672">
        <f>SUM(I491:I614)</f>
        <v>108.00489858089999</v>
      </c>
    </row>
    <row r="489" spans="1:9" ht="42">
      <c r="A489" s="223" t="s">
        <v>1859</v>
      </c>
      <c r="B489" s="433"/>
      <c r="C489" s="375"/>
      <c r="D489" s="13" t="s">
        <v>793</v>
      </c>
      <c r="E489" s="165"/>
      <c r="F489" s="417"/>
      <c r="G489" s="511"/>
      <c r="H489" s="511"/>
    </row>
    <row r="490" spans="1:9" ht="27">
      <c r="A490" s="223" t="s">
        <v>1860</v>
      </c>
      <c r="B490" s="658"/>
      <c r="C490" s="674"/>
      <c r="D490" s="686" t="s">
        <v>704</v>
      </c>
      <c r="E490" s="684"/>
      <c r="F490" s="680"/>
      <c r="G490" s="681"/>
      <c r="H490" s="681"/>
      <c r="I490" s="656"/>
    </row>
    <row r="491" spans="1:9" ht="104">
      <c r="A491" s="223" t="s">
        <v>1861</v>
      </c>
      <c r="B491" s="433" t="s">
        <v>157</v>
      </c>
      <c r="C491" s="277" t="s">
        <v>2285</v>
      </c>
      <c r="D491" s="144" t="s">
        <v>2286</v>
      </c>
      <c r="E491" s="165" t="s">
        <v>4</v>
      </c>
      <c r="F491" s="417">
        <f>F512</f>
        <v>61.750500000000002</v>
      </c>
      <c r="G491" s="511"/>
      <c r="H491" s="511">
        <f t="shared" ref="H491:H496" si="13">F491*G491</f>
        <v>0</v>
      </c>
      <c r="I491" s="240">
        <f>0.0126*F491</f>
        <v>0.77805630000000003</v>
      </c>
    </row>
    <row r="492" spans="1:9" ht="22">
      <c r="A492" s="223" t="s">
        <v>1862</v>
      </c>
      <c r="B492" s="433" t="s">
        <v>157</v>
      </c>
      <c r="C492" s="277"/>
      <c r="D492" s="138" t="s">
        <v>2287</v>
      </c>
      <c r="E492" s="165" t="s">
        <v>2</v>
      </c>
      <c r="F492" s="417">
        <f>F521</f>
        <v>63.634999999999991</v>
      </c>
      <c r="G492" s="511"/>
      <c r="H492" s="511">
        <f t="shared" si="13"/>
        <v>0</v>
      </c>
      <c r="I492" s="240">
        <f>0.001*F492</f>
        <v>6.3634999999999997E-2</v>
      </c>
    </row>
    <row r="493" spans="1:9" ht="39">
      <c r="A493" s="223" t="s">
        <v>1863</v>
      </c>
      <c r="B493" s="433" t="s">
        <v>157</v>
      </c>
      <c r="C493" s="277" t="s">
        <v>2288</v>
      </c>
      <c r="D493" s="138" t="s">
        <v>2289</v>
      </c>
      <c r="E493" s="165" t="s">
        <v>431</v>
      </c>
      <c r="F493" s="417">
        <f>81.45*1.15</f>
        <v>93.66749999999999</v>
      </c>
      <c r="G493" s="511"/>
      <c r="H493" s="511">
        <f t="shared" si="13"/>
        <v>0</v>
      </c>
      <c r="I493" s="510">
        <f>0.002*F493</f>
        <v>0.18733499999999997</v>
      </c>
    </row>
    <row r="494" spans="1:9">
      <c r="A494" s="223" t="s">
        <v>1864</v>
      </c>
      <c r="B494" s="433" t="s">
        <v>432</v>
      </c>
      <c r="C494" s="375" t="s">
        <v>433</v>
      </c>
      <c r="D494" s="167" t="s">
        <v>434</v>
      </c>
      <c r="E494" s="415" t="s">
        <v>4</v>
      </c>
      <c r="F494" s="417">
        <v>61.8</v>
      </c>
      <c r="G494" s="511"/>
      <c r="H494" s="511">
        <f t="shared" si="13"/>
        <v>0</v>
      </c>
      <c r="I494" s="240">
        <f>0.14*F494</f>
        <v>8.652000000000001</v>
      </c>
    </row>
    <row r="495" spans="1:9" ht="26">
      <c r="A495" s="223" t="s">
        <v>1865</v>
      </c>
      <c r="B495" s="475">
        <v>711199101</v>
      </c>
      <c r="C495" s="277"/>
      <c r="D495" s="137" t="s">
        <v>435</v>
      </c>
      <c r="E495" s="165" t="s">
        <v>2</v>
      </c>
      <c r="F495" s="417">
        <f>F530</f>
        <v>81.45</v>
      </c>
      <c r="G495" s="511"/>
      <c r="H495" s="511">
        <f t="shared" si="13"/>
        <v>0</v>
      </c>
      <c r="I495" s="240">
        <f>0*F495</f>
        <v>0</v>
      </c>
    </row>
    <row r="496" spans="1:9" ht="26">
      <c r="A496" s="223" t="s">
        <v>1866</v>
      </c>
      <c r="B496" s="433" t="s">
        <v>436</v>
      </c>
      <c r="C496" s="277"/>
      <c r="D496" s="137" t="s">
        <v>437</v>
      </c>
      <c r="E496" s="415" t="s">
        <v>2</v>
      </c>
      <c r="F496" s="417">
        <f>81.5*1.1</f>
        <v>89.65</v>
      </c>
      <c r="G496" s="511"/>
      <c r="H496" s="511">
        <f t="shared" si="13"/>
        <v>0</v>
      </c>
      <c r="I496" s="240">
        <f>0.00011*F496</f>
        <v>9.8615000000000005E-3</v>
      </c>
    </row>
    <row r="497" spans="1:9" ht="52">
      <c r="A497" s="223" t="s">
        <v>1867</v>
      </c>
      <c r="B497" s="433" t="s">
        <v>438</v>
      </c>
      <c r="C497" s="277" t="s">
        <v>716</v>
      </c>
      <c r="D497" s="137" t="s">
        <v>439</v>
      </c>
      <c r="E497" s="415" t="s">
        <v>4</v>
      </c>
      <c r="F497" s="417">
        <f>61.8*1.15</f>
        <v>71.069999999999993</v>
      </c>
      <c r="G497" s="511"/>
      <c r="H497" s="511">
        <f>F497*G497</f>
        <v>0</v>
      </c>
      <c r="I497" s="240">
        <f>0.0005*F497</f>
        <v>3.5534999999999997E-2</v>
      </c>
    </row>
    <row r="498" spans="1:9">
      <c r="A498" s="223" t="s">
        <v>1868</v>
      </c>
      <c r="B498" s="433" t="s">
        <v>440</v>
      </c>
      <c r="C498" s="277" t="s">
        <v>716</v>
      </c>
      <c r="D498" s="138" t="s">
        <v>2290</v>
      </c>
      <c r="E498" s="415" t="s">
        <v>4</v>
      </c>
      <c r="F498" s="417">
        <v>71.099999999999994</v>
      </c>
      <c r="G498" s="511"/>
      <c r="H498" s="511">
        <f>F498*G498</f>
        <v>0</v>
      </c>
      <c r="I498" s="240">
        <f>0.000013*F498</f>
        <v>9.2429999999999986E-4</v>
      </c>
    </row>
    <row r="499" spans="1:9" ht="37">
      <c r="A499" s="223" t="s">
        <v>1869</v>
      </c>
      <c r="B499" s="433" t="s">
        <v>180</v>
      </c>
      <c r="C499" s="277" t="s">
        <v>717</v>
      </c>
      <c r="D499" s="238" t="s">
        <v>442</v>
      </c>
      <c r="E499" s="415" t="s">
        <v>4</v>
      </c>
      <c r="F499" s="417">
        <f>61.8*1.15</f>
        <v>71.069999999999993</v>
      </c>
      <c r="G499" s="511"/>
      <c r="H499" s="511">
        <f>F499*G499</f>
        <v>0</v>
      </c>
    </row>
    <row r="500" spans="1:9" ht="38">
      <c r="A500" s="223" t="s">
        <v>1870</v>
      </c>
      <c r="B500" s="433" t="s">
        <v>443</v>
      </c>
      <c r="C500" s="277" t="s">
        <v>717</v>
      </c>
      <c r="D500" s="238" t="s">
        <v>2291</v>
      </c>
      <c r="E500" s="415" t="s">
        <v>4</v>
      </c>
      <c r="F500" s="417">
        <v>61.8</v>
      </c>
      <c r="G500" s="511"/>
      <c r="H500" s="511">
        <f>F500*G500</f>
        <v>0</v>
      </c>
    </row>
    <row r="501" spans="1:9">
      <c r="A501" s="223" t="s">
        <v>1871</v>
      </c>
      <c r="B501" s="433" t="s">
        <v>445</v>
      </c>
      <c r="C501" s="277" t="s">
        <v>718</v>
      </c>
      <c r="D501" s="137" t="s">
        <v>710</v>
      </c>
      <c r="E501" s="415"/>
      <c r="F501" s="417"/>
      <c r="G501" s="511"/>
      <c r="H501" s="511"/>
    </row>
    <row r="502" spans="1:9">
      <c r="A502" s="223" t="s">
        <v>1872</v>
      </c>
      <c r="B502" s="433" t="s">
        <v>446</v>
      </c>
      <c r="C502" s="277" t="s">
        <v>719</v>
      </c>
      <c r="D502" s="137" t="s">
        <v>447</v>
      </c>
      <c r="E502" s="415" t="s">
        <v>4</v>
      </c>
      <c r="F502" s="417">
        <f>F512</f>
        <v>61.750500000000002</v>
      </c>
      <c r="G502" s="511"/>
      <c r="H502" s="511">
        <f t="shared" ref="H502:H509" si="14">F502*G502</f>
        <v>0</v>
      </c>
      <c r="I502" s="240">
        <f>0.10061*F502</f>
        <v>6.2127178050000005</v>
      </c>
    </row>
    <row r="503" spans="1:9" ht="65">
      <c r="A503" s="223" t="s">
        <v>1873</v>
      </c>
      <c r="B503" s="433" t="s">
        <v>448</v>
      </c>
      <c r="C503" s="277" t="s">
        <v>720</v>
      </c>
      <c r="D503" s="137" t="s">
        <v>449</v>
      </c>
      <c r="E503" s="415" t="s">
        <v>4</v>
      </c>
      <c r="F503" s="452">
        <f>75.568*1.15+20.862*1.2</f>
        <v>111.93759999999997</v>
      </c>
      <c r="G503" s="511"/>
      <c r="H503" s="511">
        <f t="shared" si="14"/>
        <v>0</v>
      </c>
      <c r="I503" s="240">
        <f>0.00454*F503</f>
        <v>0.50819670399999983</v>
      </c>
    </row>
    <row r="504" spans="1:9" ht="78">
      <c r="A504" s="223" t="s">
        <v>1874</v>
      </c>
      <c r="B504" s="433" t="s">
        <v>448</v>
      </c>
      <c r="C504" s="277" t="s">
        <v>720</v>
      </c>
      <c r="D504" s="137" t="s">
        <v>450</v>
      </c>
      <c r="E504" s="415" t="s">
        <v>4</v>
      </c>
      <c r="F504" s="452">
        <f>F503</f>
        <v>111.93759999999997</v>
      </c>
      <c r="G504" s="511"/>
      <c r="H504" s="511">
        <f t="shared" si="14"/>
        <v>0</v>
      </c>
      <c r="I504" s="240">
        <f>0.00454*F504</f>
        <v>0.50819670399999983</v>
      </c>
    </row>
    <row r="505" spans="1:9" ht="39">
      <c r="A505" s="223" t="s">
        <v>1875</v>
      </c>
      <c r="B505" s="433" t="s">
        <v>451</v>
      </c>
      <c r="C505" s="277" t="s">
        <v>720</v>
      </c>
      <c r="D505" s="137" t="s">
        <v>452</v>
      </c>
      <c r="E505" s="415" t="s">
        <v>4</v>
      </c>
      <c r="F505" s="417">
        <v>75.567999999999998</v>
      </c>
      <c r="G505" s="511"/>
      <c r="H505" s="511">
        <f t="shared" si="14"/>
        <v>0</v>
      </c>
      <c r="I505" s="240">
        <f>0.0004*F505</f>
        <v>3.0227199999999999E-2</v>
      </c>
    </row>
    <row r="506" spans="1:9" ht="39">
      <c r="A506" s="223" t="s">
        <v>1876</v>
      </c>
      <c r="B506" s="433" t="s">
        <v>453</v>
      </c>
      <c r="C506" s="277" t="s">
        <v>720</v>
      </c>
      <c r="D506" s="137" t="s">
        <v>454</v>
      </c>
      <c r="E506" s="415" t="s">
        <v>4</v>
      </c>
      <c r="F506" s="417">
        <v>20.861999999999998</v>
      </c>
      <c r="G506" s="511"/>
      <c r="H506" s="511">
        <f t="shared" si="14"/>
        <v>0</v>
      </c>
      <c r="I506" s="240">
        <f>0.0004*F506</f>
        <v>8.3447999999999994E-3</v>
      </c>
    </row>
    <row r="507" spans="1:9" ht="26">
      <c r="A507" s="223" t="s">
        <v>1877</v>
      </c>
      <c r="B507" s="433" t="s">
        <v>455</v>
      </c>
      <c r="C507" s="277" t="s">
        <v>721</v>
      </c>
      <c r="D507" s="137" t="s">
        <v>456</v>
      </c>
      <c r="E507" s="415" t="s">
        <v>4</v>
      </c>
      <c r="F507" s="417">
        <v>75.567999999999998</v>
      </c>
      <c r="G507" s="511"/>
      <c r="H507" s="511">
        <f t="shared" si="14"/>
        <v>0</v>
      </c>
      <c r="I507" s="240">
        <f>0.22798*F507</f>
        <v>17.22799264</v>
      </c>
    </row>
    <row r="508" spans="1:9" ht="22">
      <c r="A508" s="223" t="s">
        <v>1878</v>
      </c>
      <c r="B508" s="433" t="s">
        <v>457</v>
      </c>
      <c r="C508" s="277" t="s">
        <v>722</v>
      </c>
      <c r="D508" s="137" t="s">
        <v>458</v>
      </c>
      <c r="E508" s="415" t="s">
        <v>4</v>
      </c>
      <c r="F508" s="417">
        <f>75.568*1.15</f>
        <v>86.903199999999984</v>
      </c>
      <c r="G508" s="511"/>
      <c r="H508" s="511">
        <f t="shared" si="14"/>
        <v>0</v>
      </c>
      <c r="I508" s="240">
        <f>0.00069*F508</f>
        <v>5.9963207999999983E-2</v>
      </c>
    </row>
    <row r="509" spans="1:9">
      <c r="A509" s="223" t="s">
        <v>1879</v>
      </c>
      <c r="B509" s="433" t="s">
        <v>459</v>
      </c>
      <c r="C509" s="277" t="s">
        <v>723</v>
      </c>
      <c r="D509" s="137" t="s">
        <v>460</v>
      </c>
      <c r="E509" s="415" t="s">
        <v>8</v>
      </c>
      <c r="F509" s="417">
        <f>F550</f>
        <v>30.496099999999998</v>
      </c>
      <c r="G509" s="511"/>
      <c r="H509" s="511">
        <f t="shared" si="14"/>
        <v>0</v>
      </c>
      <c r="I509" s="240">
        <f>1.98*F509</f>
        <v>60.382277999999999</v>
      </c>
    </row>
    <row r="510" spans="1:9">
      <c r="A510" s="223" t="s">
        <v>1880</v>
      </c>
      <c r="B510" s="433"/>
      <c r="C510" s="277" t="s">
        <v>461</v>
      </c>
      <c r="D510" s="137" t="s">
        <v>462</v>
      </c>
      <c r="E510" s="415"/>
      <c r="F510" s="417"/>
      <c r="G510" s="511"/>
      <c r="H510" s="511"/>
    </row>
    <row r="511" spans="1:9" ht="28">
      <c r="A511" s="223" t="s">
        <v>1881</v>
      </c>
      <c r="B511" s="658"/>
      <c r="C511" s="669"/>
      <c r="D511" s="683" t="s">
        <v>463</v>
      </c>
      <c r="E511" s="684"/>
      <c r="F511" s="680"/>
      <c r="G511" s="681"/>
      <c r="H511" s="681"/>
      <c r="I511" s="656"/>
    </row>
    <row r="512" spans="1:9">
      <c r="A512" s="223" t="s">
        <v>1882</v>
      </c>
      <c r="B512" s="433"/>
      <c r="C512" s="368" t="s">
        <v>711</v>
      </c>
      <c r="D512" s="167" t="s">
        <v>464</v>
      </c>
      <c r="E512" s="415" t="s">
        <v>4</v>
      </c>
      <c r="F512" s="445">
        <f>SUM(F513:F520)</f>
        <v>61.750500000000002</v>
      </c>
      <c r="G512" s="511"/>
      <c r="H512" s="511"/>
    </row>
    <row r="513" spans="1:8">
      <c r="A513" s="223" t="s">
        <v>1883</v>
      </c>
      <c r="B513" s="433"/>
      <c r="C513" s="368"/>
      <c r="D513" s="137" t="s">
        <v>465</v>
      </c>
      <c r="E513" s="415"/>
      <c r="F513" s="449">
        <f>6.7*4.235+0.9*0.115</f>
        <v>28.478000000000002</v>
      </c>
      <c r="G513" s="511"/>
      <c r="H513" s="511"/>
    </row>
    <row r="514" spans="1:8">
      <c r="A514" s="223" t="s">
        <v>1884</v>
      </c>
      <c r="B514" s="433"/>
      <c r="C514" s="368"/>
      <c r="D514" s="137" t="s">
        <v>466</v>
      </c>
      <c r="E514" s="415"/>
      <c r="F514" s="519">
        <f>(2.49*2.535+0.9*0.115)</f>
        <v>6.4156500000000012</v>
      </c>
      <c r="G514" s="511"/>
      <c r="H514" s="511"/>
    </row>
    <row r="515" spans="1:8">
      <c r="A515" s="223" t="s">
        <v>1885</v>
      </c>
      <c r="B515" s="433"/>
      <c r="C515" s="368"/>
      <c r="D515" s="137" t="s">
        <v>467</v>
      </c>
      <c r="E515" s="415"/>
      <c r="F515" s="519">
        <f>(2.24*2.535+1.2*0.115)</f>
        <v>5.8164000000000007</v>
      </c>
      <c r="G515" s="511"/>
      <c r="H515" s="511"/>
    </row>
    <row r="516" spans="1:8">
      <c r="A516" s="223" t="s">
        <v>1886</v>
      </c>
      <c r="B516" s="433"/>
      <c r="C516" s="368"/>
      <c r="D516" s="137" t="s">
        <v>468</v>
      </c>
      <c r="E516" s="415"/>
      <c r="F516" s="519">
        <f>(2.995*2.2)</f>
        <v>6.5890000000000004</v>
      </c>
      <c r="G516" s="511"/>
      <c r="H516" s="511"/>
    </row>
    <row r="517" spans="1:8">
      <c r="A517" s="223" t="s">
        <v>1887</v>
      </c>
      <c r="B517" s="433"/>
      <c r="C517" s="368"/>
      <c r="D517" s="137" t="s">
        <v>469</v>
      </c>
      <c r="E517" s="415"/>
      <c r="F517" s="519">
        <f>(1.65*0.95+0.8*0.115)</f>
        <v>1.6595</v>
      </c>
      <c r="G517" s="511"/>
      <c r="H517" s="511"/>
    </row>
    <row r="518" spans="1:8">
      <c r="A518" s="223" t="s">
        <v>1888</v>
      </c>
      <c r="B518" s="433"/>
      <c r="C518" s="368"/>
      <c r="D518" s="137" t="s">
        <v>470</v>
      </c>
      <c r="E518" s="415"/>
      <c r="F518" s="519">
        <f>(1.65*1.135+0.8*0.115)</f>
        <v>1.96475</v>
      </c>
      <c r="G518" s="511"/>
      <c r="H518" s="511"/>
    </row>
    <row r="519" spans="1:8">
      <c r="A519" s="223" t="s">
        <v>1889</v>
      </c>
      <c r="B519" s="433"/>
      <c r="C519" s="368"/>
      <c r="D519" s="137" t="s">
        <v>471</v>
      </c>
      <c r="E519" s="415"/>
      <c r="F519" s="519">
        <f>(1.74*3.11)</f>
        <v>5.4113999999999995</v>
      </c>
      <c r="G519" s="511"/>
      <c r="H519" s="511"/>
    </row>
    <row r="520" spans="1:8">
      <c r="A520" s="223" t="s">
        <v>1890</v>
      </c>
      <c r="B520" s="433"/>
      <c r="C520" s="277"/>
      <c r="D520" s="137" t="s">
        <v>472</v>
      </c>
      <c r="E520" s="415"/>
      <c r="F520" s="519">
        <f>(2.28*2.28+0.9*0.115+1.34*0.085)</f>
        <v>5.4157999999999999</v>
      </c>
      <c r="G520" s="511"/>
      <c r="H520" s="511"/>
    </row>
    <row r="521" spans="1:8">
      <c r="A521" s="223" t="s">
        <v>1891</v>
      </c>
      <c r="B521" s="433"/>
      <c r="C521" s="368"/>
      <c r="D521" s="137" t="s">
        <v>473</v>
      </c>
      <c r="E521" s="415" t="s">
        <v>2</v>
      </c>
      <c r="F521" s="445">
        <f>SUM(F522:F529)</f>
        <v>63.634999999999991</v>
      </c>
      <c r="G521" s="511"/>
      <c r="H521" s="511"/>
    </row>
    <row r="522" spans="1:8">
      <c r="A522" s="223" t="s">
        <v>1892</v>
      </c>
      <c r="B522" s="453"/>
      <c r="C522" s="384"/>
      <c r="D522" s="245" t="s">
        <v>474</v>
      </c>
      <c r="E522" s="454"/>
      <c r="F522" s="269">
        <f>(6.7+4.235)*2-(0.8+1.1)</f>
        <v>19.970000000000002</v>
      </c>
      <c r="G522" s="510"/>
      <c r="H522" s="510"/>
    </row>
    <row r="523" spans="1:8">
      <c r="A523" s="223" t="s">
        <v>1893</v>
      </c>
      <c r="B523" s="453"/>
      <c r="C523" s="385"/>
      <c r="D523" s="245" t="s">
        <v>475</v>
      </c>
      <c r="E523" s="454"/>
      <c r="F523" s="269">
        <f>(2.49+2.535)*2-(0.8)</f>
        <v>9.25</v>
      </c>
      <c r="G523" s="510"/>
      <c r="H523" s="510"/>
    </row>
    <row r="524" spans="1:8">
      <c r="A524" s="223" t="s">
        <v>1894</v>
      </c>
      <c r="B524" s="453"/>
      <c r="C524" s="385"/>
      <c r="D524" s="245" t="s">
        <v>476</v>
      </c>
      <c r="E524" s="454"/>
      <c r="F524" s="269">
        <f>(2.24+2.535)-1.1</f>
        <v>3.6750000000000003</v>
      </c>
      <c r="G524" s="510"/>
      <c r="H524" s="510"/>
    </row>
    <row r="525" spans="1:8">
      <c r="A525" s="223" t="s">
        <v>1895</v>
      </c>
      <c r="B525" s="453"/>
      <c r="C525" s="385"/>
      <c r="D525" s="245" t="s">
        <v>477</v>
      </c>
      <c r="E525" s="454"/>
      <c r="F525" s="269">
        <f>(3+2.2)*2-(0.7*2+0.8)</f>
        <v>8.1999999999999993</v>
      </c>
      <c r="G525" s="510"/>
      <c r="H525" s="510"/>
    </row>
    <row r="526" spans="1:8">
      <c r="A526" s="223" t="s">
        <v>1896</v>
      </c>
      <c r="B526" s="433"/>
      <c r="C526" s="368"/>
      <c r="D526" s="245" t="s">
        <v>478</v>
      </c>
      <c r="E526" s="454"/>
      <c r="F526" s="269">
        <f>(1.65+1.042)*2-0.7</f>
        <v>4.6840000000000002</v>
      </c>
      <c r="G526" s="510"/>
      <c r="H526" s="511"/>
    </row>
    <row r="527" spans="1:8">
      <c r="A527" s="223" t="s">
        <v>1897</v>
      </c>
      <c r="B527" s="433"/>
      <c r="C527" s="368"/>
      <c r="D527" s="245" t="s">
        <v>479</v>
      </c>
      <c r="E527" s="454"/>
      <c r="F527" s="269">
        <f>(1.65+1.043)*2-0.7</f>
        <v>4.6859999999999991</v>
      </c>
      <c r="G527" s="510"/>
      <c r="H527" s="511"/>
    </row>
    <row r="528" spans="1:8">
      <c r="A528" s="223" t="s">
        <v>1898</v>
      </c>
      <c r="B528" s="433"/>
      <c r="C528" s="368"/>
      <c r="D528" s="245" t="s">
        <v>480</v>
      </c>
      <c r="E528" s="454"/>
      <c r="F528" s="269">
        <f>(1.74+3.225*2)-0.8*2</f>
        <v>6.59</v>
      </c>
      <c r="G528" s="510"/>
      <c r="H528" s="511"/>
    </row>
    <row r="529" spans="1:8">
      <c r="A529" s="223" t="s">
        <v>1899</v>
      </c>
      <c r="B529" s="433"/>
      <c r="C529" s="277"/>
      <c r="D529" s="245" t="s">
        <v>481</v>
      </c>
      <c r="E529" s="454"/>
      <c r="F529" s="269">
        <f>(2.28*4)-(0.8+1.74)</f>
        <v>6.5799999999999992</v>
      </c>
      <c r="G529" s="510"/>
      <c r="H529" s="511"/>
    </row>
    <row r="530" spans="1:8">
      <c r="A530" s="223" t="s">
        <v>1900</v>
      </c>
      <c r="B530" s="433"/>
      <c r="C530" s="368" t="s">
        <v>712</v>
      </c>
      <c r="D530" s="137" t="s">
        <v>482</v>
      </c>
      <c r="E530" s="415" t="s">
        <v>2</v>
      </c>
      <c r="F530" s="520">
        <f>SUM(F531:F538)</f>
        <v>81.45</v>
      </c>
      <c r="G530" s="511"/>
      <c r="H530" s="511"/>
    </row>
    <row r="531" spans="1:8">
      <c r="A531" s="223" t="s">
        <v>1901</v>
      </c>
      <c r="B531" s="433"/>
      <c r="C531" s="277"/>
      <c r="D531" s="137" t="s">
        <v>483</v>
      </c>
      <c r="E531" s="415"/>
      <c r="F531" s="449">
        <f>(6.7+4.235)*2+0.15*2</f>
        <v>22.17</v>
      </c>
      <c r="G531" s="511"/>
      <c r="H531" s="511"/>
    </row>
    <row r="532" spans="1:8">
      <c r="A532" s="223" t="s">
        <v>1902</v>
      </c>
      <c r="B532" s="433"/>
      <c r="C532" s="277"/>
      <c r="D532" s="137" t="s">
        <v>484</v>
      </c>
      <c r="E532" s="415"/>
      <c r="F532" s="519">
        <f>(2.49+2.535)*2+0.15*2</f>
        <v>10.350000000000001</v>
      </c>
      <c r="G532" s="511"/>
      <c r="H532" s="511"/>
    </row>
    <row r="533" spans="1:8">
      <c r="A533" s="223" t="s">
        <v>1903</v>
      </c>
      <c r="B533" s="433"/>
      <c r="C533" s="277"/>
      <c r="D533" s="137" t="s">
        <v>485</v>
      </c>
      <c r="E533" s="415"/>
      <c r="F533" s="519">
        <f>(2.24+2.535)*2+0.15*2</f>
        <v>9.8500000000000014</v>
      </c>
      <c r="G533" s="511"/>
      <c r="H533" s="511"/>
    </row>
    <row r="534" spans="1:8">
      <c r="A534" s="223" t="s">
        <v>1904</v>
      </c>
      <c r="B534" s="433"/>
      <c r="C534" s="277"/>
      <c r="D534" s="137" t="s">
        <v>486</v>
      </c>
      <c r="E534" s="415"/>
      <c r="F534" s="519">
        <f>(3+2.2)*2</f>
        <v>10.4</v>
      </c>
      <c r="G534" s="511"/>
      <c r="H534" s="511"/>
    </row>
    <row r="535" spans="1:8">
      <c r="A535" s="223" t="s">
        <v>1905</v>
      </c>
      <c r="B535" s="433"/>
      <c r="C535" s="277"/>
      <c r="D535" s="137" t="s">
        <v>487</v>
      </c>
      <c r="E535" s="415"/>
      <c r="F535" s="519">
        <f>(1.65+1.042)*2+0.15*2</f>
        <v>5.6840000000000002</v>
      </c>
      <c r="G535" s="511"/>
      <c r="H535" s="511"/>
    </row>
    <row r="536" spans="1:8">
      <c r="A536" s="223" t="s">
        <v>1906</v>
      </c>
      <c r="B536" s="433"/>
      <c r="C536" s="277"/>
      <c r="D536" s="137" t="s">
        <v>488</v>
      </c>
      <c r="E536" s="415"/>
      <c r="F536" s="519">
        <f>(1.65+1.043)*2+0.15*2</f>
        <v>5.6859999999999991</v>
      </c>
      <c r="G536" s="511"/>
      <c r="H536" s="511"/>
    </row>
    <row r="537" spans="1:8">
      <c r="A537" s="223" t="s">
        <v>1907</v>
      </c>
      <c r="B537" s="433"/>
      <c r="C537" s="277"/>
      <c r="D537" s="137" t="s">
        <v>489</v>
      </c>
      <c r="E537" s="415"/>
      <c r="F537" s="519">
        <f>(1.74+3.225*2)</f>
        <v>8.19</v>
      </c>
      <c r="G537" s="511"/>
      <c r="H537" s="511"/>
    </row>
    <row r="538" spans="1:8">
      <c r="A538" s="223" t="s">
        <v>1908</v>
      </c>
      <c r="B538" s="433"/>
      <c r="C538" s="277"/>
      <c r="D538" s="137" t="s">
        <v>490</v>
      </c>
      <c r="E538" s="415"/>
      <c r="F538" s="519">
        <f>(2.28*4)</f>
        <v>9.1199999999999992</v>
      </c>
      <c r="G538" s="511"/>
      <c r="H538" s="511"/>
    </row>
    <row r="539" spans="1:8">
      <c r="A539" s="223" t="s">
        <v>1909</v>
      </c>
      <c r="B539" s="433"/>
      <c r="C539" s="277" t="s">
        <v>713</v>
      </c>
      <c r="D539" s="137" t="s">
        <v>491</v>
      </c>
      <c r="E539" s="415" t="s">
        <v>2</v>
      </c>
      <c r="F539" s="520">
        <f>SUM(F540:F547)</f>
        <v>81.45</v>
      </c>
      <c r="G539" s="511"/>
      <c r="H539" s="511"/>
    </row>
    <row r="540" spans="1:8">
      <c r="A540" s="223" t="s">
        <v>1910</v>
      </c>
      <c r="B540" s="433"/>
      <c r="C540" s="277"/>
      <c r="D540" s="137" t="s">
        <v>483</v>
      </c>
      <c r="E540" s="415"/>
      <c r="F540" s="449">
        <f>(6.7+4.235)*2+0.15*2</f>
        <v>22.17</v>
      </c>
      <c r="G540" s="511"/>
      <c r="H540" s="511"/>
    </row>
    <row r="541" spans="1:8">
      <c r="A541" s="223" t="s">
        <v>1911</v>
      </c>
      <c r="B541" s="433"/>
      <c r="C541" s="277"/>
      <c r="D541" s="137" t="s">
        <v>484</v>
      </c>
      <c r="E541" s="415"/>
      <c r="F541" s="519">
        <f>(2.49+2.535)*2+0.15*2</f>
        <v>10.350000000000001</v>
      </c>
      <c r="G541" s="511"/>
      <c r="H541" s="511"/>
    </row>
    <row r="542" spans="1:8">
      <c r="A542" s="223" t="s">
        <v>1912</v>
      </c>
      <c r="B542" s="433"/>
      <c r="C542" s="277"/>
      <c r="D542" s="137" t="s">
        <v>485</v>
      </c>
      <c r="E542" s="415"/>
      <c r="F542" s="519">
        <f>(2.24+2.535)*2+0.15*2</f>
        <v>9.8500000000000014</v>
      </c>
      <c r="G542" s="511"/>
      <c r="H542" s="511"/>
    </row>
    <row r="543" spans="1:8">
      <c r="A543" s="223" t="s">
        <v>1913</v>
      </c>
      <c r="B543" s="433"/>
      <c r="C543" s="277"/>
      <c r="D543" s="137" t="s">
        <v>486</v>
      </c>
      <c r="E543" s="415"/>
      <c r="F543" s="519">
        <f>(3+2.2)*2</f>
        <v>10.4</v>
      </c>
      <c r="G543" s="511"/>
      <c r="H543" s="511"/>
    </row>
    <row r="544" spans="1:8">
      <c r="A544" s="223" t="s">
        <v>1914</v>
      </c>
      <c r="B544" s="433"/>
      <c r="C544" s="277"/>
      <c r="D544" s="137" t="s">
        <v>487</v>
      </c>
      <c r="E544" s="415"/>
      <c r="F544" s="519">
        <f>(1.65+1.042)*2+0.15*2</f>
        <v>5.6840000000000002</v>
      </c>
      <c r="G544" s="511"/>
      <c r="H544" s="511"/>
    </row>
    <row r="545" spans="1:9">
      <c r="A545" s="223" t="s">
        <v>1915</v>
      </c>
      <c r="B545" s="433"/>
      <c r="C545" s="277"/>
      <c r="D545" s="137" t="s">
        <v>488</v>
      </c>
      <c r="E545" s="415"/>
      <c r="F545" s="519">
        <f>(1.65+1.043)*2+0.15*2</f>
        <v>5.6859999999999991</v>
      </c>
      <c r="G545" s="511"/>
      <c r="H545" s="511"/>
    </row>
    <row r="546" spans="1:9">
      <c r="A546" s="223" t="s">
        <v>1916</v>
      </c>
      <c r="B546" s="433"/>
      <c r="C546" s="277"/>
      <c r="D546" s="137" t="s">
        <v>489</v>
      </c>
      <c r="E546" s="415"/>
      <c r="F546" s="519">
        <f>(1.74+3.225*2)</f>
        <v>8.19</v>
      </c>
      <c r="G546" s="511"/>
      <c r="H546" s="511"/>
    </row>
    <row r="547" spans="1:9">
      <c r="A547" s="223" t="s">
        <v>1917</v>
      </c>
      <c r="B547" s="433"/>
      <c r="C547" s="277"/>
      <c r="D547" s="137" t="s">
        <v>490</v>
      </c>
      <c r="E547" s="415"/>
      <c r="F547" s="519">
        <f>(2.28*4)</f>
        <v>9.1199999999999992</v>
      </c>
      <c r="G547" s="511"/>
      <c r="H547" s="511"/>
    </row>
    <row r="548" spans="1:9" ht="52">
      <c r="A548" s="223" t="s">
        <v>1918</v>
      </c>
      <c r="B548" s="433"/>
      <c r="C548" s="250" t="s">
        <v>724</v>
      </c>
      <c r="D548" s="137" t="s">
        <v>492</v>
      </c>
      <c r="E548" s="415" t="s">
        <v>4</v>
      </c>
      <c r="F548" s="519">
        <f>((9.84*(6.7+0.32+0.36))+(3*2-0.54)*0.54)*1.15</f>
        <v>86.902740000000009</v>
      </c>
      <c r="G548" s="511"/>
      <c r="H548" s="511"/>
    </row>
    <row r="549" spans="1:9" ht="26">
      <c r="A549" s="223" t="s">
        <v>1919</v>
      </c>
      <c r="B549" s="433"/>
      <c r="C549" s="171" t="s">
        <v>725</v>
      </c>
      <c r="D549" s="137" t="s">
        <v>493</v>
      </c>
      <c r="E549" s="415" t="s">
        <v>4</v>
      </c>
      <c r="F549" s="519">
        <f>(7.92+9.84+0.54)*2*0.57*1.2</f>
        <v>25.034399999999994</v>
      </c>
      <c r="G549" s="511"/>
      <c r="H549" s="511"/>
    </row>
    <row r="550" spans="1:9" ht="52">
      <c r="A550" s="223" t="s">
        <v>1920</v>
      </c>
      <c r="B550" s="433"/>
      <c r="C550" s="277" t="s">
        <v>726</v>
      </c>
      <c r="D550" s="137" t="s">
        <v>494</v>
      </c>
      <c r="E550" s="415" t="s">
        <v>8</v>
      </c>
      <c r="F550" s="519">
        <f>0.15*(9.84*(6.7+0.32*2))+(3*2-0.54)*0.54*0.15+(9.84+0.75*2)*0.5*2+(6.7+0.32*2)*0.5*2+(0.54*0.5*2)</f>
        <v>30.496099999999998</v>
      </c>
      <c r="G550" s="511"/>
      <c r="H550" s="511"/>
    </row>
    <row r="551" spans="1:9" ht="27">
      <c r="A551" s="223" t="s">
        <v>1921</v>
      </c>
      <c r="B551" s="658"/>
      <c r="C551" s="674" t="s">
        <v>495</v>
      </c>
      <c r="D551" s="685" t="s">
        <v>786</v>
      </c>
      <c r="E551" s="684"/>
      <c r="F551" s="680"/>
      <c r="G551" s="681"/>
      <c r="H551" s="681"/>
      <c r="I551" s="656"/>
    </row>
    <row r="552" spans="1:9" ht="104">
      <c r="A552" s="223" t="s">
        <v>1922</v>
      </c>
      <c r="B552" s="433" t="s">
        <v>157</v>
      </c>
      <c r="C552" s="375" t="s">
        <v>2292</v>
      </c>
      <c r="D552" s="144" t="s">
        <v>2293</v>
      </c>
      <c r="E552" s="165" t="s">
        <v>4</v>
      </c>
      <c r="F552" s="417">
        <v>67.5</v>
      </c>
      <c r="G552" s="511"/>
      <c r="H552" s="511">
        <f t="shared" ref="H552:H562" si="15">F552*G552</f>
        <v>0</v>
      </c>
      <c r="I552" s="240">
        <f>0.0126*F552</f>
        <v>0.85050000000000003</v>
      </c>
    </row>
    <row r="553" spans="1:9" ht="22">
      <c r="A553" s="223" t="s">
        <v>1923</v>
      </c>
      <c r="B553" s="433" t="s">
        <v>157</v>
      </c>
      <c r="C553" s="375"/>
      <c r="D553" s="138" t="s">
        <v>2294</v>
      </c>
      <c r="E553" s="165" t="s">
        <v>2</v>
      </c>
      <c r="F553" s="417">
        <f>F578</f>
        <v>38.950000000000003</v>
      </c>
      <c r="G553" s="511"/>
      <c r="H553" s="511">
        <f t="shared" si="15"/>
        <v>0</v>
      </c>
      <c r="I553" s="240">
        <f>0.001*F553</f>
        <v>3.8950000000000005E-2</v>
      </c>
    </row>
    <row r="554" spans="1:9" ht="39">
      <c r="A554" s="223" t="s">
        <v>1924</v>
      </c>
      <c r="B554" s="433" t="s">
        <v>157</v>
      </c>
      <c r="C554" s="277" t="s">
        <v>2288</v>
      </c>
      <c r="D554" s="138" t="s">
        <v>2295</v>
      </c>
      <c r="E554" s="165" t="s">
        <v>2</v>
      </c>
      <c r="F554" s="417">
        <f>59.3*1.15</f>
        <v>68.194999999999993</v>
      </c>
      <c r="G554" s="511"/>
      <c r="H554" s="511">
        <f t="shared" si="15"/>
        <v>0</v>
      </c>
      <c r="I554" s="510">
        <f>0.002*F554</f>
        <v>0.13638999999999998</v>
      </c>
    </row>
    <row r="555" spans="1:9">
      <c r="A555" s="223" t="s">
        <v>1925</v>
      </c>
      <c r="B555" s="433" t="s">
        <v>432</v>
      </c>
      <c r="C555" s="375" t="s">
        <v>2296</v>
      </c>
      <c r="D555" s="167" t="s">
        <v>434</v>
      </c>
      <c r="E555" s="415" t="s">
        <v>4</v>
      </c>
      <c r="F555" s="417">
        <v>67.5</v>
      </c>
      <c r="G555" s="511"/>
      <c r="H555" s="511">
        <f t="shared" si="15"/>
        <v>0</v>
      </c>
      <c r="I555" s="240">
        <f>0.13*F555</f>
        <v>8.7750000000000004</v>
      </c>
    </row>
    <row r="556" spans="1:9" ht="26">
      <c r="A556" s="223" t="s">
        <v>1926</v>
      </c>
      <c r="B556" s="475">
        <v>711199101</v>
      </c>
      <c r="C556" s="277"/>
      <c r="D556" s="137" t="s">
        <v>2297</v>
      </c>
      <c r="E556" s="165" t="s">
        <v>2</v>
      </c>
      <c r="F556" s="417">
        <f>F571</f>
        <v>47.8</v>
      </c>
      <c r="G556" s="511"/>
      <c r="H556" s="511">
        <f t="shared" si="15"/>
        <v>0</v>
      </c>
      <c r="I556" s="240">
        <f>0*F556</f>
        <v>0</v>
      </c>
    </row>
    <row r="557" spans="1:9" ht="26">
      <c r="A557" s="223" t="s">
        <v>1927</v>
      </c>
      <c r="B557" s="433" t="s">
        <v>436</v>
      </c>
      <c r="C557" s="277"/>
      <c r="D557" s="137" t="s">
        <v>2298</v>
      </c>
      <c r="E557" s="415" t="s">
        <v>2</v>
      </c>
      <c r="F557" s="417">
        <f>F556*1.1</f>
        <v>52.58</v>
      </c>
      <c r="G557" s="511"/>
      <c r="H557" s="511">
        <f t="shared" si="15"/>
        <v>0</v>
      </c>
      <c r="I557" s="240">
        <f>0.00011*F557</f>
        <v>5.7838000000000004E-3</v>
      </c>
    </row>
    <row r="558" spans="1:9" ht="52">
      <c r="A558" s="223" t="s">
        <v>1928</v>
      </c>
      <c r="B558" s="433" t="s">
        <v>501</v>
      </c>
      <c r="C558" s="277" t="s">
        <v>730</v>
      </c>
      <c r="D558" s="137" t="s">
        <v>2299</v>
      </c>
      <c r="E558" s="415" t="s">
        <v>4</v>
      </c>
      <c r="F558" s="417">
        <f>51.58*1.1</f>
        <v>56.738</v>
      </c>
      <c r="G558" s="511"/>
      <c r="H558" s="511">
        <f t="shared" si="15"/>
        <v>0</v>
      </c>
      <c r="I558" s="240">
        <f>0.0005*F558</f>
        <v>2.8369000000000002E-2</v>
      </c>
    </row>
    <row r="559" spans="1:9" ht="26">
      <c r="A559" s="223" t="s">
        <v>1929</v>
      </c>
      <c r="B559" s="433" t="s">
        <v>440</v>
      </c>
      <c r="C559" s="277" t="s">
        <v>730</v>
      </c>
      <c r="D559" s="138" t="s">
        <v>2300</v>
      </c>
      <c r="E559" s="415" t="s">
        <v>4</v>
      </c>
      <c r="F559" s="417">
        <f>F558</f>
        <v>56.738</v>
      </c>
      <c r="G559" s="511"/>
      <c r="H559" s="511">
        <f t="shared" si="15"/>
        <v>0</v>
      </c>
      <c r="I559" s="240">
        <f>0.000013*F559</f>
        <v>7.3759399999999994E-4</v>
      </c>
    </row>
    <row r="560" spans="1:9" ht="26">
      <c r="A560" s="223" t="s">
        <v>1930</v>
      </c>
      <c r="B560" s="433" t="s">
        <v>504</v>
      </c>
      <c r="C560" s="277" t="s">
        <v>731</v>
      </c>
      <c r="D560" s="137" t="s">
        <v>2301</v>
      </c>
      <c r="E560" s="163" t="s">
        <v>4</v>
      </c>
      <c r="F560" s="449">
        <f>51.58*1.15</f>
        <v>59.316999999999993</v>
      </c>
      <c r="G560" s="511"/>
      <c r="H560" s="511">
        <f t="shared" si="15"/>
        <v>0</v>
      </c>
      <c r="I560" s="240">
        <f>0.00039*F560</f>
        <v>2.3133629999999995E-2</v>
      </c>
    </row>
    <row r="561" spans="1:9" ht="22">
      <c r="A561" s="223" t="s">
        <v>1931</v>
      </c>
      <c r="B561" s="433" t="s">
        <v>506</v>
      </c>
      <c r="C561" s="277" t="s">
        <v>731</v>
      </c>
      <c r="D561" s="137" t="s">
        <v>2302</v>
      </c>
      <c r="E561" s="163" t="s">
        <v>4</v>
      </c>
      <c r="F561" s="449">
        <f>F560</f>
        <v>59.316999999999993</v>
      </c>
      <c r="G561" s="511"/>
      <c r="H561" s="511">
        <f t="shared" si="15"/>
        <v>0</v>
      </c>
      <c r="I561" s="240">
        <f>0*F561</f>
        <v>0</v>
      </c>
    </row>
    <row r="562" spans="1:9" ht="26">
      <c r="A562" s="223" t="s">
        <v>1932</v>
      </c>
      <c r="B562" s="433" t="s">
        <v>157</v>
      </c>
      <c r="C562" s="277" t="s">
        <v>732</v>
      </c>
      <c r="D562" s="137" t="s">
        <v>788</v>
      </c>
      <c r="E562" s="163" t="s">
        <v>4</v>
      </c>
      <c r="F562" s="449">
        <f>F579</f>
        <v>2.2000000000000002</v>
      </c>
      <c r="G562" s="511"/>
      <c r="H562" s="511">
        <f t="shared" si="15"/>
        <v>0</v>
      </c>
      <c r="I562" s="240">
        <f>0.01*F562</f>
        <v>2.2000000000000002E-2</v>
      </c>
    </row>
    <row r="563" spans="1:9">
      <c r="A563" s="223" t="s">
        <v>1933</v>
      </c>
      <c r="B563" s="433" t="s">
        <v>508</v>
      </c>
      <c r="C563" s="277"/>
      <c r="D563" s="137" t="s">
        <v>509</v>
      </c>
      <c r="E563" s="163"/>
      <c r="F563" s="449"/>
      <c r="G563" s="511"/>
      <c r="H563" s="511"/>
      <c r="I563" s="521"/>
    </row>
    <row r="564" spans="1:9" ht="27">
      <c r="A564" s="223" t="s">
        <v>1934</v>
      </c>
      <c r="B564" s="658"/>
      <c r="C564" s="674" t="s">
        <v>495</v>
      </c>
      <c r="D564" s="687" t="s">
        <v>789</v>
      </c>
      <c r="E564" s="688"/>
      <c r="F564" s="689"/>
      <c r="G564" s="681"/>
      <c r="H564" s="681"/>
      <c r="I564" s="690"/>
    </row>
    <row r="565" spans="1:9">
      <c r="A565" s="223" t="s">
        <v>1935</v>
      </c>
      <c r="B565" s="433"/>
      <c r="C565" s="375"/>
      <c r="D565" s="137" t="s">
        <v>510</v>
      </c>
      <c r="E565" s="163"/>
      <c r="F565" s="449"/>
      <c r="G565" s="511"/>
      <c r="H565" s="511"/>
      <c r="I565" s="521"/>
    </row>
    <row r="566" spans="1:9" ht="14">
      <c r="A566" s="223" t="s">
        <v>1936</v>
      </c>
      <c r="B566" s="433"/>
      <c r="C566" s="375" t="s">
        <v>2292</v>
      </c>
      <c r="D566" s="57" t="s">
        <v>511</v>
      </c>
      <c r="E566" s="163" t="s">
        <v>4</v>
      </c>
      <c r="F566" s="455">
        <f>SUM(F567:F570)</f>
        <v>51.582000000000001</v>
      </c>
      <c r="G566" s="511"/>
      <c r="H566" s="511"/>
      <c r="I566" s="521"/>
    </row>
    <row r="567" spans="1:9" ht="14">
      <c r="A567" s="223" t="s">
        <v>1937</v>
      </c>
      <c r="B567" s="433"/>
      <c r="C567" s="386"/>
      <c r="D567" s="57" t="s">
        <v>512</v>
      </c>
      <c r="E567" s="269"/>
      <c r="F567" s="449">
        <f>6.7*7.46-14.8</f>
        <v>35.182000000000002</v>
      </c>
      <c r="G567" s="511"/>
      <c r="H567" s="511"/>
      <c r="I567" s="521"/>
    </row>
    <row r="568" spans="1:9" ht="14">
      <c r="A568" s="223" t="s">
        <v>1938</v>
      </c>
      <c r="B568" s="433"/>
      <c r="C568" s="277"/>
      <c r="D568" s="57" t="s">
        <v>513</v>
      </c>
      <c r="E568" s="163"/>
      <c r="F568" s="449">
        <v>8.4</v>
      </c>
      <c r="G568" s="511"/>
      <c r="H568" s="511"/>
      <c r="I568" s="521"/>
    </row>
    <row r="569" spans="1:9" ht="14">
      <c r="A569" s="223" t="s">
        <v>1939</v>
      </c>
      <c r="B569" s="433"/>
      <c r="C569" s="375"/>
      <c r="D569" s="57" t="s">
        <v>514</v>
      </c>
      <c r="E569" s="163"/>
      <c r="F569" s="449">
        <v>2.5</v>
      </c>
      <c r="G569" s="511"/>
      <c r="H569" s="511"/>
      <c r="I569" s="521"/>
    </row>
    <row r="570" spans="1:9" ht="14">
      <c r="A570" s="223" t="s">
        <v>1940</v>
      </c>
      <c r="B570" s="433"/>
      <c r="C570" s="375"/>
      <c r="D570" s="57" t="s">
        <v>515</v>
      </c>
      <c r="E570" s="163"/>
      <c r="F570" s="449">
        <v>5.5</v>
      </c>
      <c r="G570" s="511"/>
      <c r="H570" s="511"/>
      <c r="I570" s="521"/>
    </row>
    <row r="571" spans="1:9">
      <c r="A571" s="223" t="s">
        <v>1941</v>
      </c>
      <c r="B571" s="433"/>
      <c r="C571" s="277"/>
      <c r="D571" s="137" t="s">
        <v>516</v>
      </c>
      <c r="E571" s="163" t="s">
        <v>2</v>
      </c>
      <c r="F571" s="455">
        <f>SUM(F572:F576)</f>
        <v>47.8</v>
      </c>
      <c r="G571" s="511"/>
      <c r="H571" s="511"/>
      <c r="I571" s="521"/>
    </row>
    <row r="572" spans="1:9" ht="14">
      <c r="A572" s="223" t="s">
        <v>1942</v>
      </c>
      <c r="B572" s="433"/>
      <c r="C572" s="277" t="s">
        <v>2288</v>
      </c>
      <c r="D572" s="57" t="s">
        <v>517</v>
      </c>
      <c r="E572" s="163"/>
      <c r="F572" s="449">
        <f>28.7-11.5</f>
        <v>17.2</v>
      </c>
      <c r="G572" s="511"/>
      <c r="H572" s="511"/>
      <c r="I572" s="521"/>
    </row>
    <row r="573" spans="1:9" ht="14">
      <c r="A573" s="223" t="s">
        <v>1943</v>
      </c>
      <c r="B573" s="433"/>
      <c r="C573" s="277"/>
      <c r="D573" s="57" t="s">
        <v>518</v>
      </c>
      <c r="E573" s="163"/>
      <c r="F573" s="449">
        <v>13.2</v>
      </c>
      <c r="G573" s="511"/>
      <c r="H573" s="511"/>
      <c r="I573" s="521"/>
    </row>
    <row r="574" spans="1:9" ht="14">
      <c r="A574" s="223" t="s">
        <v>1944</v>
      </c>
      <c r="B574" s="433"/>
      <c r="C574" s="277"/>
      <c r="D574" s="57" t="s">
        <v>519</v>
      </c>
      <c r="E574" s="163"/>
      <c r="F574" s="449">
        <v>6.5</v>
      </c>
      <c r="G574" s="511"/>
      <c r="H574" s="511"/>
      <c r="I574" s="521"/>
    </row>
    <row r="575" spans="1:9" ht="14">
      <c r="A575" s="223" t="s">
        <v>1945</v>
      </c>
      <c r="B575" s="433"/>
      <c r="C575" s="277"/>
      <c r="D575" s="57" t="s">
        <v>520</v>
      </c>
      <c r="E575" s="163"/>
      <c r="F575" s="449">
        <v>9.15</v>
      </c>
      <c r="G575" s="511"/>
      <c r="H575" s="511"/>
      <c r="I575" s="521"/>
    </row>
    <row r="576" spans="1:9">
      <c r="A576" s="223" t="s">
        <v>1946</v>
      </c>
      <c r="B576" s="433"/>
      <c r="C576" s="277"/>
      <c r="D576" s="137" t="s">
        <v>521</v>
      </c>
      <c r="E576" s="163"/>
      <c r="F576" s="449">
        <f>1.75</f>
        <v>1.75</v>
      </c>
      <c r="G576" s="511"/>
      <c r="H576" s="511"/>
      <c r="I576" s="521"/>
    </row>
    <row r="577" spans="1:9">
      <c r="A577" s="223" t="s">
        <v>1947</v>
      </c>
      <c r="B577" s="433"/>
      <c r="C577" s="277"/>
      <c r="D577" s="137" t="s">
        <v>522</v>
      </c>
      <c r="E577" s="163"/>
      <c r="F577" s="449"/>
      <c r="G577" s="511"/>
      <c r="H577" s="511"/>
      <c r="I577" s="521"/>
    </row>
    <row r="578" spans="1:9" ht="14">
      <c r="A578" s="223" t="s">
        <v>1948</v>
      </c>
      <c r="B578" s="433"/>
      <c r="C578" s="277"/>
      <c r="D578" s="57" t="s">
        <v>523</v>
      </c>
      <c r="E578" s="163" t="s">
        <v>2</v>
      </c>
      <c r="F578" s="455">
        <f>(37.2+0.8+0.95)</f>
        <v>38.950000000000003</v>
      </c>
      <c r="G578" s="511"/>
      <c r="H578" s="511"/>
      <c r="I578" s="521"/>
    </row>
    <row r="579" spans="1:9" ht="26">
      <c r="A579" s="223" t="s">
        <v>1949</v>
      </c>
      <c r="B579" s="433"/>
      <c r="C579" s="277"/>
      <c r="D579" s="137" t="s">
        <v>507</v>
      </c>
      <c r="E579" s="163" t="s">
        <v>4</v>
      </c>
      <c r="F579" s="455">
        <v>2.2000000000000002</v>
      </c>
      <c r="G579" s="511"/>
      <c r="H579" s="511"/>
      <c r="I579" s="521"/>
    </row>
    <row r="580" spans="1:9" ht="27">
      <c r="A580" s="223" t="s">
        <v>1950</v>
      </c>
      <c r="B580" s="658"/>
      <c r="C580" s="674" t="s">
        <v>524</v>
      </c>
      <c r="D580" s="686" t="s">
        <v>790</v>
      </c>
      <c r="E580" s="688"/>
      <c r="F580" s="689"/>
      <c r="G580" s="681"/>
      <c r="H580" s="681"/>
      <c r="I580" s="690"/>
    </row>
    <row r="581" spans="1:9" ht="104">
      <c r="A581" s="223" t="s">
        <v>1951</v>
      </c>
      <c r="B581" s="433" t="s">
        <v>157</v>
      </c>
      <c r="C581" s="277" t="s">
        <v>2303</v>
      </c>
      <c r="D581" s="144" t="s">
        <v>2304</v>
      </c>
      <c r="E581" s="165" t="s">
        <v>4</v>
      </c>
      <c r="F581" s="417">
        <f>F587</f>
        <v>63.633183999999993</v>
      </c>
      <c r="G581" s="511"/>
      <c r="H581" s="511">
        <f>F581*G581</f>
        <v>0</v>
      </c>
      <c r="I581" s="240">
        <f>0.0126*F581</f>
        <v>0.80177811839999991</v>
      </c>
    </row>
    <row r="582" spans="1:9" ht="22">
      <c r="A582" s="223" t="s">
        <v>1952</v>
      </c>
      <c r="B582" s="433" t="s">
        <v>157</v>
      </c>
      <c r="C582" s="277"/>
      <c r="D582" s="138" t="s">
        <v>526</v>
      </c>
      <c r="E582" s="165" t="s">
        <v>2</v>
      </c>
      <c r="F582" s="417">
        <f>F594</f>
        <v>96.864000000000004</v>
      </c>
      <c r="G582" s="511"/>
      <c r="H582" s="511">
        <f>F582*G582</f>
        <v>0</v>
      </c>
      <c r="I582" s="240">
        <f>0.001*F582</f>
        <v>9.6864000000000006E-2</v>
      </c>
    </row>
    <row r="583" spans="1:9" ht="39">
      <c r="A583" s="223" t="s">
        <v>1953</v>
      </c>
      <c r="B583" s="433" t="s">
        <v>157</v>
      </c>
      <c r="C583" s="277"/>
      <c r="D583" s="138" t="s">
        <v>2305</v>
      </c>
      <c r="E583" s="165" t="s">
        <v>2</v>
      </c>
      <c r="F583" s="417">
        <f>F582*1.15</f>
        <v>111.39359999999999</v>
      </c>
      <c r="G583" s="511"/>
      <c r="H583" s="511">
        <f>F583*G583</f>
        <v>0</v>
      </c>
      <c r="I583" s="510">
        <f>0.002*F583</f>
        <v>0.22278719999999999</v>
      </c>
    </row>
    <row r="584" spans="1:9">
      <c r="A584" s="223" t="s">
        <v>1954</v>
      </c>
      <c r="B584" s="433" t="s">
        <v>508</v>
      </c>
      <c r="C584" s="375" t="s">
        <v>2306</v>
      </c>
      <c r="D584" s="137" t="s">
        <v>509</v>
      </c>
      <c r="E584" s="415"/>
      <c r="F584" s="417"/>
      <c r="G584" s="511"/>
      <c r="H584" s="511"/>
    </row>
    <row r="585" spans="1:9" ht="56">
      <c r="A585" s="223" t="s">
        <v>1955</v>
      </c>
      <c r="B585" s="658" t="s">
        <v>792</v>
      </c>
      <c r="C585" s="674" t="s">
        <v>524</v>
      </c>
      <c r="D585" s="683" t="s">
        <v>791</v>
      </c>
      <c r="E585" s="684"/>
      <c r="F585" s="680"/>
      <c r="G585" s="681"/>
      <c r="H585" s="681"/>
      <c r="I585" s="656"/>
    </row>
    <row r="586" spans="1:9">
      <c r="A586" s="223" t="s">
        <v>1956</v>
      </c>
      <c r="B586" s="433"/>
      <c r="C586" s="375"/>
      <c r="D586" s="137" t="s">
        <v>528</v>
      </c>
      <c r="E586" s="165"/>
      <c r="F586" s="417"/>
      <c r="G586" s="511"/>
      <c r="H586" s="511"/>
    </row>
    <row r="587" spans="1:9" ht="14">
      <c r="A587" s="223" t="s">
        <v>1957</v>
      </c>
      <c r="B587" s="433"/>
      <c r="C587" s="375" t="s">
        <v>2307</v>
      </c>
      <c r="D587" s="57" t="s">
        <v>529</v>
      </c>
      <c r="E587" s="165" t="s">
        <v>4</v>
      </c>
      <c r="F587" s="445">
        <f>SUM(F588:F593)</f>
        <v>63.633183999999993</v>
      </c>
      <c r="G587" s="511"/>
      <c r="H587" s="511"/>
    </row>
    <row r="588" spans="1:9">
      <c r="A588" s="223" t="s">
        <v>1958</v>
      </c>
      <c r="B588" s="433"/>
      <c r="C588" s="386"/>
      <c r="D588" s="137" t="s">
        <v>530</v>
      </c>
      <c r="E588" s="165"/>
      <c r="F588" s="417">
        <v>11.12</v>
      </c>
      <c r="G588" s="511"/>
      <c r="H588" s="511"/>
    </row>
    <row r="589" spans="1:9" ht="52">
      <c r="A589" s="223" t="s">
        <v>1959</v>
      </c>
      <c r="B589" s="433"/>
      <c r="C589" s="277"/>
      <c r="D589" s="137" t="s">
        <v>531</v>
      </c>
      <c r="E589" s="165" t="s">
        <v>4</v>
      </c>
      <c r="F589" s="417">
        <f>4.2+(1.075+1.062+1.331+1.173+1.01+1.005+1.154+1.363+1.174+1+1.05+1.3+1.2+1.02+1.01+1.14)*0.192</f>
        <v>7.6688640000000001</v>
      </c>
      <c r="G589" s="511"/>
      <c r="H589" s="511"/>
    </row>
    <row r="590" spans="1:9" ht="52">
      <c r="A590" s="223" t="s">
        <v>1960</v>
      </c>
      <c r="B590" s="433"/>
      <c r="C590" s="277"/>
      <c r="D590" s="137" t="s">
        <v>532</v>
      </c>
      <c r="E590" s="165" t="s">
        <v>4</v>
      </c>
      <c r="F590" s="417">
        <f>5.5+(1.075+1.062+1.331+1.173+1.01+1.005+1.154+1.363+1.174+1+1.05+1.3+1.2+1.02+1.01+1.14)*0.192</f>
        <v>8.9688639999999999</v>
      </c>
      <c r="G590" s="511"/>
      <c r="H590" s="511"/>
    </row>
    <row r="591" spans="1:9" ht="52">
      <c r="A591" s="223" t="s">
        <v>1961</v>
      </c>
      <c r="B591" s="433"/>
      <c r="C591" s="277"/>
      <c r="D591" s="137" t="s">
        <v>533</v>
      </c>
      <c r="E591" s="165" t="s">
        <v>4</v>
      </c>
      <c r="F591" s="417">
        <f>5.5+(1.075+1.062+1.331+1.173+1.01+1.005+1.154+1.363+1.174+1+1.05+1.3+1.2+1.02+1.01+1.14)*0.192</f>
        <v>8.9688639999999999</v>
      </c>
      <c r="G591" s="511"/>
      <c r="H591" s="511"/>
    </row>
    <row r="592" spans="1:9" ht="52">
      <c r="A592" s="223" t="s">
        <v>1962</v>
      </c>
      <c r="B592" s="433"/>
      <c r="C592" s="277"/>
      <c r="D592" s="137" t="s">
        <v>534</v>
      </c>
      <c r="E592" s="165" t="s">
        <v>4</v>
      </c>
      <c r="F592" s="417">
        <f>5.5+(1.075+1.062+1.331+1.173+1.01+1.005+1.154+1.363+1.174+1+1.05+1.3+1.2+1.02+1.01+1.14)*0.192</f>
        <v>8.9688639999999999</v>
      </c>
      <c r="G592" s="511"/>
      <c r="H592" s="511"/>
    </row>
    <row r="593" spans="1:9" ht="65">
      <c r="A593" s="223" t="s">
        <v>1963</v>
      </c>
      <c r="B593" s="433"/>
      <c r="C593" s="277"/>
      <c r="D593" s="137" t="s">
        <v>535</v>
      </c>
      <c r="E593" s="165" t="s">
        <v>4</v>
      </c>
      <c r="F593" s="417">
        <f>5.5*2+(1.075+1.062+1.331+1.173+1.01+1.005+1.154+1.363+1.174+1+1.05+1.3+1.2+1.02+1.01+1.14)*0.192*2</f>
        <v>17.937728</v>
      </c>
      <c r="G593" s="511"/>
      <c r="H593" s="511"/>
    </row>
    <row r="594" spans="1:9">
      <c r="A594" s="223" t="s">
        <v>1964</v>
      </c>
      <c r="B594" s="433"/>
      <c r="C594" s="277"/>
      <c r="D594" s="137" t="s">
        <v>536</v>
      </c>
      <c r="E594" s="165" t="s">
        <v>2</v>
      </c>
      <c r="F594" s="445">
        <f>SUM(F595:F599)</f>
        <v>96.864000000000004</v>
      </c>
      <c r="G594" s="511"/>
      <c r="H594" s="511"/>
    </row>
    <row r="595" spans="1:9" ht="26">
      <c r="A595" s="223" t="s">
        <v>1965</v>
      </c>
      <c r="B595" s="433"/>
      <c r="C595" s="277"/>
      <c r="D595" s="137" t="s">
        <v>537</v>
      </c>
      <c r="E595" s="165"/>
      <c r="F595" s="163">
        <f>7.54+0.192*16 + 0.94+0.192*16</f>
        <v>14.623999999999999</v>
      </c>
      <c r="G595" s="511"/>
      <c r="H595" s="511"/>
    </row>
    <row r="596" spans="1:9" ht="26">
      <c r="A596" s="223" t="s">
        <v>1966</v>
      </c>
      <c r="B596" s="433"/>
      <c r="C596" s="277"/>
      <c r="D596" s="137" t="s">
        <v>538</v>
      </c>
      <c r="E596" s="165"/>
      <c r="F596" s="163">
        <f>7.54+0.192*16 + 0.94+0.192*16</f>
        <v>14.623999999999999</v>
      </c>
      <c r="G596" s="511"/>
      <c r="H596" s="511"/>
    </row>
    <row r="597" spans="1:9" ht="39">
      <c r="A597" s="223" t="s">
        <v>1967</v>
      </c>
      <c r="B597" s="433"/>
      <c r="C597" s="277"/>
      <c r="D597" s="137" t="s">
        <v>539</v>
      </c>
      <c r="E597" s="165"/>
      <c r="F597" s="163">
        <f>7.54+0.192*16 + 0.94+0.192*16+17.6</f>
        <v>32.224000000000004</v>
      </c>
      <c r="G597" s="511"/>
      <c r="H597" s="511"/>
    </row>
    <row r="598" spans="1:9" ht="26">
      <c r="A598" s="223" t="s">
        <v>1968</v>
      </c>
      <c r="B598" s="433"/>
      <c r="C598" s="277"/>
      <c r="D598" s="137" t="s">
        <v>540</v>
      </c>
      <c r="E598" s="165"/>
      <c r="F598" s="163">
        <f>7.54+0.192*16 + 0.94+0.192*16</f>
        <v>14.623999999999999</v>
      </c>
      <c r="G598" s="511"/>
      <c r="H598" s="511"/>
    </row>
    <row r="599" spans="1:9" ht="26">
      <c r="A599" s="223" t="s">
        <v>1969</v>
      </c>
      <c r="B599" s="433"/>
      <c r="C599" s="277"/>
      <c r="D599" s="137" t="s">
        <v>541</v>
      </c>
      <c r="E599" s="165"/>
      <c r="F599" s="163">
        <f>7.54+0.192*16*2 + 0.94+0.192*16*2</f>
        <v>20.768000000000001</v>
      </c>
      <c r="G599" s="511"/>
      <c r="H599" s="511"/>
    </row>
    <row r="600" spans="1:9" ht="27">
      <c r="A600" s="223" t="s">
        <v>1970</v>
      </c>
      <c r="B600" s="658"/>
      <c r="C600" s="674" t="s">
        <v>543</v>
      </c>
      <c r="D600" s="691" t="s">
        <v>544</v>
      </c>
      <c r="E600" s="684"/>
      <c r="F600" s="680"/>
      <c r="G600" s="681"/>
      <c r="H600" s="681"/>
      <c r="I600" s="656"/>
    </row>
    <row r="601" spans="1:9" ht="104">
      <c r="A601" s="223" t="s">
        <v>1971</v>
      </c>
      <c r="B601" s="433" t="s">
        <v>157</v>
      </c>
      <c r="C601" s="375" t="s">
        <v>2308</v>
      </c>
      <c r="D601" s="144" t="s">
        <v>2309</v>
      </c>
      <c r="E601" s="165" t="s">
        <v>4</v>
      </c>
      <c r="F601" s="417">
        <f>15+(6.7*0.16)</f>
        <v>16.071999999999999</v>
      </c>
      <c r="G601" s="511"/>
      <c r="H601" s="511">
        <f>F601*G601</f>
        <v>0</v>
      </c>
      <c r="I601" s="240">
        <f>0.0126*F601</f>
        <v>0.2025072</v>
      </c>
    </row>
    <row r="602" spans="1:9" ht="22">
      <c r="A602" s="223" t="s">
        <v>1972</v>
      </c>
      <c r="B602" s="433" t="s">
        <v>157</v>
      </c>
      <c r="C602" s="375" t="s">
        <v>2310</v>
      </c>
      <c r="D602" s="138" t="s">
        <v>2311</v>
      </c>
      <c r="E602" s="165" t="s">
        <v>2</v>
      </c>
      <c r="F602" s="417">
        <f>11.5+0.16*2</f>
        <v>11.82</v>
      </c>
      <c r="G602" s="511"/>
      <c r="H602" s="511">
        <f>F602*G602</f>
        <v>0</v>
      </c>
      <c r="I602" s="240">
        <f>0.001*F602</f>
        <v>1.1820000000000001E-2</v>
      </c>
    </row>
    <row r="603" spans="1:9" ht="39">
      <c r="A603" s="223" t="s">
        <v>1973</v>
      </c>
      <c r="B603" s="433" t="s">
        <v>157</v>
      </c>
      <c r="C603" s="277" t="s">
        <v>2312</v>
      </c>
      <c r="D603" s="138" t="s">
        <v>2313</v>
      </c>
      <c r="E603" s="165" t="s">
        <v>2</v>
      </c>
      <c r="F603" s="417">
        <f>19.85*1.15</f>
        <v>22.827500000000001</v>
      </c>
      <c r="G603" s="511"/>
      <c r="H603" s="511">
        <f>F603*G603</f>
        <v>0</v>
      </c>
      <c r="I603" s="510">
        <f>0.002*F603</f>
        <v>4.5655000000000001E-2</v>
      </c>
    </row>
    <row r="604" spans="1:9">
      <c r="A604" s="223" t="s">
        <v>1974</v>
      </c>
      <c r="B604" s="433" t="s">
        <v>432</v>
      </c>
      <c r="C604" s="375" t="s">
        <v>2314</v>
      </c>
      <c r="D604" s="167" t="s">
        <v>434</v>
      </c>
      <c r="E604" s="415" t="s">
        <v>4</v>
      </c>
      <c r="F604" s="417">
        <v>15</v>
      </c>
      <c r="G604" s="511"/>
      <c r="H604" s="511">
        <f t="shared" ref="H604:H614" si="16">F604*G604</f>
        <v>0</v>
      </c>
      <c r="I604" s="240">
        <f>0.13*F604</f>
        <v>1.9500000000000002</v>
      </c>
    </row>
    <row r="605" spans="1:9" ht="26">
      <c r="A605" s="223" t="s">
        <v>1975</v>
      </c>
      <c r="B605" s="475">
        <v>711199101</v>
      </c>
      <c r="C605" s="277" t="s">
        <v>2315</v>
      </c>
      <c r="D605" s="137" t="s">
        <v>2316</v>
      </c>
      <c r="E605" s="165" t="s">
        <v>2</v>
      </c>
      <c r="F605" s="417">
        <f>F603</f>
        <v>22.827500000000001</v>
      </c>
      <c r="G605" s="511"/>
      <c r="H605" s="511">
        <f>F605*G605</f>
        <v>0</v>
      </c>
      <c r="I605" s="240">
        <f>0*F605</f>
        <v>0</v>
      </c>
    </row>
    <row r="606" spans="1:9" ht="26">
      <c r="A606" s="223" t="s">
        <v>1976</v>
      </c>
      <c r="B606" s="433" t="s">
        <v>436</v>
      </c>
      <c r="C606" s="375" t="s">
        <v>2317</v>
      </c>
      <c r="D606" s="137" t="s">
        <v>2318</v>
      </c>
      <c r="E606" s="415" t="s">
        <v>2</v>
      </c>
      <c r="F606" s="417">
        <f>F605*1.1</f>
        <v>25.110250000000004</v>
      </c>
      <c r="G606" s="511"/>
      <c r="H606" s="511">
        <f>F606*G606</f>
        <v>0</v>
      </c>
      <c r="I606" s="240">
        <f>0.00011*F606</f>
        <v>2.7621275000000007E-3</v>
      </c>
    </row>
    <row r="607" spans="1:9" ht="52">
      <c r="A607" s="223" t="s">
        <v>1977</v>
      </c>
      <c r="B607" s="433" t="s">
        <v>438</v>
      </c>
      <c r="C607" s="375" t="s">
        <v>2319</v>
      </c>
      <c r="D607" s="137" t="s">
        <v>2320</v>
      </c>
      <c r="E607" s="415" t="s">
        <v>4</v>
      </c>
      <c r="F607" s="417">
        <f>15*1.15</f>
        <v>17.25</v>
      </c>
      <c r="G607" s="511"/>
      <c r="H607" s="511">
        <f t="shared" si="16"/>
        <v>0</v>
      </c>
      <c r="I607" s="510">
        <f>0.0005*F607</f>
        <v>8.6250000000000007E-3</v>
      </c>
    </row>
    <row r="608" spans="1:9">
      <c r="A608" s="223" t="s">
        <v>1978</v>
      </c>
      <c r="B608" s="433" t="s">
        <v>440</v>
      </c>
      <c r="C608" s="375" t="s">
        <v>2321</v>
      </c>
      <c r="D608" s="138" t="s">
        <v>2322</v>
      </c>
      <c r="E608" s="415" t="s">
        <v>4</v>
      </c>
      <c r="F608" s="417">
        <f>F607</f>
        <v>17.25</v>
      </c>
      <c r="G608" s="511"/>
      <c r="H608" s="511">
        <f t="shared" si="16"/>
        <v>0</v>
      </c>
      <c r="I608" s="510">
        <f>0.000013*F608</f>
        <v>2.2424999999999998E-4</v>
      </c>
    </row>
    <row r="609" spans="1:9" ht="49">
      <c r="A609" s="223" t="s">
        <v>1979</v>
      </c>
      <c r="B609" s="433" t="s">
        <v>180</v>
      </c>
      <c r="C609" s="375" t="s">
        <v>2323</v>
      </c>
      <c r="D609" s="238" t="s">
        <v>2324</v>
      </c>
      <c r="E609" s="415" t="s">
        <v>4</v>
      </c>
      <c r="F609" s="417">
        <f>(15-2)*1.15</f>
        <v>14.95</v>
      </c>
      <c r="G609" s="511"/>
      <c r="H609" s="511">
        <f t="shared" si="16"/>
        <v>0</v>
      </c>
      <c r="I609" s="510">
        <f>0.00512*F609</f>
        <v>7.6544000000000001E-2</v>
      </c>
    </row>
    <row r="610" spans="1:9" ht="26">
      <c r="A610" s="223" t="s">
        <v>1980</v>
      </c>
      <c r="B610" s="433" t="s">
        <v>443</v>
      </c>
      <c r="C610" s="375" t="s">
        <v>2325</v>
      </c>
      <c r="D610" s="238" t="s">
        <v>2326</v>
      </c>
      <c r="E610" s="415" t="s">
        <v>4</v>
      </c>
      <c r="F610" s="417">
        <f>F609</f>
        <v>14.95</v>
      </c>
      <c r="G610" s="511"/>
      <c r="H610" s="511">
        <f t="shared" si="16"/>
        <v>0</v>
      </c>
      <c r="I610" s="510">
        <f>0.0012*F610</f>
        <v>1.7939999999999998E-2</v>
      </c>
    </row>
    <row r="611" spans="1:9" ht="37">
      <c r="A611" s="223" t="s">
        <v>1981</v>
      </c>
      <c r="B611" s="433" t="s">
        <v>180</v>
      </c>
      <c r="C611" s="375" t="s">
        <v>2327</v>
      </c>
      <c r="D611" s="238" t="s">
        <v>2328</v>
      </c>
      <c r="E611" s="415" t="s">
        <v>4</v>
      </c>
      <c r="F611" s="417">
        <f>2*1.15</f>
        <v>2.2999999999999998</v>
      </c>
      <c r="G611" s="511"/>
      <c r="H611" s="511">
        <f t="shared" si="16"/>
        <v>0</v>
      </c>
      <c r="I611" s="510">
        <f>0.00512*F611</f>
        <v>1.1776E-2</v>
      </c>
    </row>
    <row r="612" spans="1:9" ht="26">
      <c r="A612" s="223" t="s">
        <v>1982</v>
      </c>
      <c r="B612" s="433" t="s">
        <v>443</v>
      </c>
      <c r="C612" s="375" t="s">
        <v>2329</v>
      </c>
      <c r="D612" s="238" t="s">
        <v>2326</v>
      </c>
      <c r="E612" s="415" t="s">
        <v>4</v>
      </c>
      <c r="F612" s="417">
        <f>2*1.15</f>
        <v>2.2999999999999998</v>
      </c>
      <c r="G612" s="511"/>
      <c r="H612" s="511">
        <f t="shared" si="16"/>
        <v>0</v>
      </c>
      <c r="I612" s="510">
        <f>0.0012*F612</f>
        <v>2.7599999999999994E-3</v>
      </c>
    </row>
    <row r="613" spans="1:9" ht="26">
      <c r="A613" s="223" t="s">
        <v>1983</v>
      </c>
      <c r="B613" s="433" t="s">
        <v>504</v>
      </c>
      <c r="C613" s="375" t="s">
        <v>2330</v>
      </c>
      <c r="D613" s="137" t="s">
        <v>555</v>
      </c>
      <c r="E613" s="163" t="s">
        <v>4</v>
      </c>
      <c r="F613" s="449">
        <f>15*1.15</f>
        <v>17.25</v>
      </c>
      <c r="G613" s="511"/>
      <c r="H613" s="511">
        <f t="shared" si="16"/>
        <v>0</v>
      </c>
      <c r="I613" s="240">
        <f>0.00039*F613</f>
        <v>6.7275E-3</v>
      </c>
    </row>
    <row r="614" spans="1:9" ht="26">
      <c r="A614" s="223" t="s">
        <v>1984</v>
      </c>
      <c r="B614" s="433" t="s">
        <v>506</v>
      </c>
      <c r="C614" s="375" t="s">
        <v>2331</v>
      </c>
      <c r="D614" s="137" t="s">
        <v>556</v>
      </c>
      <c r="E614" s="163" t="s">
        <v>4</v>
      </c>
      <c r="F614" s="449">
        <v>15</v>
      </c>
      <c r="G614" s="511"/>
      <c r="H614" s="511">
        <f t="shared" si="16"/>
        <v>0</v>
      </c>
      <c r="I614" s="240">
        <f>0*F614</f>
        <v>0</v>
      </c>
    </row>
    <row r="615" spans="1:9">
      <c r="A615" s="223" t="s">
        <v>1985</v>
      </c>
      <c r="B615" s="433" t="s">
        <v>508</v>
      </c>
      <c r="C615" s="277"/>
      <c r="D615" s="137" t="s">
        <v>509</v>
      </c>
      <c r="E615" s="163"/>
      <c r="F615" s="449"/>
      <c r="G615" s="511"/>
      <c r="H615" s="511"/>
      <c r="I615" s="521"/>
    </row>
    <row r="616" spans="1:9" ht="24">
      <c r="A616" s="223" t="s">
        <v>1986</v>
      </c>
      <c r="B616" s="658"/>
      <c r="C616" s="669" t="s">
        <v>557</v>
      </c>
      <c r="D616" s="648" t="s">
        <v>794</v>
      </c>
      <c r="E616" s="692" t="s">
        <v>48</v>
      </c>
      <c r="F616" s="693" t="s">
        <v>60</v>
      </c>
      <c r="G616" s="719"/>
      <c r="H616" s="719">
        <f>SUM(H618:H705)</f>
        <v>0</v>
      </c>
      <c r="I616" s="694">
        <v>15</v>
      </c>
    </row>
    <row r="617" spans="1:9" ht="91">
      <c r="A617" s="223" t="s">
        <v>1987</v>
      </c>
      <c r="B617" s="433"/>
      <c r="C617" s="277"/>
      <c r="D617" s="314" t="s">
        <v>2332</v>
      </c>
      <c r="E617" s="415"/>
      <c r="F617" s="413"/>
      <c r="G617" s="511"/>
      <c r="H617" s="511"/>
    </row>
    <row r="618" spans="1:9">
      <c r="A618" s="223" t="s">
        <v>1988</v>
      </c>
      <c r="B618" s="658"/>
      <c r="C618" s="669"/>
      <c r="D618" s="695" t="s">
        <v>559</v>
      </c>
      <c r="E618" s="661"/>
      <c r="F618" s="662"/>
      <c r="G618" s="681"/>
      <c r="H618" s="681"/>
      <c r="I618" s="656"/>
    </row>
    <row r="619" spans="1:9" ht="52">
      <c r="A619" s="223" t="s">
        <v>1989</v>
      </c>
      <c r="B619" s="433" t="s">
        <v>87</v>
      </c>
      <c r="C619" s="39" t="s">
        <v>750</v>
      </c>
      <c r="D619" s="314" t="s">
        <v>2333</v>
      </c>
      <c r="E619" s="415" t="s">
        <v>4</v>
      </c>
      <c r="F619" s="498">
        <f>10.46+10.56</f>
        <v>21.020000000000003</v>
      </c>
      <c r="G619" s="511"/>
      <c r="H619" s="511">
        <f>F619*G619</f>
        <v>0</v>
      </c>
    </row>
    <row r="620" spans="1:9" ht="26">
      <c r="A620" s="223" t="s">
        <v>1990</v>
      </c>
      <c r="B620" s="433" t="s">
        <v>87</v>
      </c>
      <c r="C620" s="39" t="s">
        <v>751</v>
      </c>
      <c r="D620" s="314" t="s">
        <v>2334</v>
      </c>
      <c r="E620" s="415" t="s">
        <v>4</v>
      </c>
      <c r="F620" s="498">
        <f>10.46+10.56</f>
        <v>21.020000000000003</v>
      </c>
      <c r="G620" s="511"/>
      <c r="H620" s="511">
        <f t="shared" ref="H620:H672" si="17">F620*G620</f>
        <v>0</v>
      </c>
    </row>
    <row r="621" spans="1:9" ht="39">
      <c r="A621" s="223" t="s">
        <v>1991</v>
      </c>
      <c r="B621" s="433" t="s">
        <v>87</v>
      </c>
      <c r="C621" s="39" t="s">
        <v>752</v>
      </c>
      <c r="D621" s="314" t="s">
        <v>2335</v>
      </c>
      <c r="E621" s="415" t="s">
        <v>4</v>
      </c>
      <c r="F621" s="498">
        <f>10.46+10.56</f>
        <v>21.020000000000003</v>
      </c>
      <c r="G621" s="511"/>
      <c r="H621" s="511">
        <f t="shared" si="17"/>
        <v>0</v>
      </c>
    </row>
    <row r="622" spans="1:9" ht="26">
      <c r="A622" s="223" t="s">
        <v>1992</v>
      </c>
      <c r="B622" s="433" t="s">
        <v>87</v>
      </c>
      <c r="C622" s="39"/>
      <c r="D622" s="314" t="s">
        <v>2336</v>
      </c>
      <c r="E622" s="415" t="s">
        <v>4</v>
      </c>
      <c r="F622" s="498">
        <f>10.46+10.56</f>
        <v>21.020000000000003</v>
      </c>
      <c r="G622" s="511"/>
      <c r="H622" s="511">
        <f t="shared" si="17"/>
        <v>0</v>
      </c>
    </row>
    <row r="623" spans="1:9" ht="26">
      <c r="A623" s="223" t="s">
        <v>1993</v>
      </c>
      <c r="B623" s="433" t="s">
        <v>563</v>
      </c>
      <c r="C623" s="39" t="s">
        <v>753</v>
      </c>
      <c r="D623" s="314" t="s">
        <v>2337</v>
      </c>
      <c r="E623" s="415" t="s">
        <v>4</v>
      </c>
      <c r="F623" s="408">
        <f>(10.7+11+(8.85+7)*0.15+ (8.85+7)*0.65 + 8.4*0.65)*1.15</f>
        <v>45.816000000000003</v>
      </c>
      <c r="G623" s="511"/>
      <c r="H623" s="511">
        <f t="shared" si="17"/>
        <v>0</v>
      </c>
    </row>
    <row r="624" spans="1:9" ht="40">
      <c r="A624" s="223" t="s">
        <v>1994</v>
      </c>
      <c r="B624" s="433"/>
      <c r="C624" s="39"/>
      <c r="D624" s="314" t="s">
        <v>2338</v>
      </c>
      <c r="E624" s="415"/>
      <c r="F624" s="213"/>
      <c r="G624" s="511"/>
      <c r="H624" s="511"/>
    </row>
    <row r="625" spans="1:8" ht="22">
      <c r="A625" s="223" t="s">
        <v>1995</v>
      </c>
      <c r="B625" s="433" t="s">
        <v>566</v>
      </c>
      <c r="C625" s="39"/>
      <c r="D625" s="314" t="s">
        <v>2339</v>
      </c>
      <c r="E625" s="415" t="s">
        <v>4</v>
      </c>
      <c r="F625" s="213">
        <f>10.7+11+(8.85+7)*0.15+ (8.85+7)*0.65 + 8.4*0.65</f>
        <v>39.840000000000003</v>
      </c>
      <c r="G625" s="511"/>
      <c r="H625" s="511">
        <f t="shared" si="17"/>
        <v>0</v>
      </c>
    </row>
    <row r="626" spans="1:8" ht="22">
      <c r="A626" s="223" t="s">
        <v>1996</v>
      </c>
      <c r="B626" s="433" t="s">
        <v>568</v>
      </c>
      <c r="C626" s="39" t="s">
        <v>2340</v>
      </c>
      <c r="D626" s="314" t="s">
        <v>2341</v>
      </c>
      <c r="E626" s="415" t="s">
        <v>4</v>
      </c>
      <c r="F626" s="408">
        <f>F623</f>
        <v>45.816000000000003</v>
      </c>
      <c r="G626" s="511"/>
      <c r="H626" s="511">
        <f t="shared" si="17"/>
        <v>0</v>
      </c>
    </row>
    <row r="627" spans="1:8" ht="22">
      <c r="A627" s="223" t="s">
        <v>1997</v>
      </c>
      <c r="B627" s="433" t="s">
        <v>319</v>
      </c>
      <c r="C627" s="39"/>
      <c r="D627" s="314" t="s">
        <v>2342</v>
      </c>
      <c r="E627" s="415" t="s">
        <v>4</v>
      </c>
      <c r="F627" s="213">
        <f>F625</f>
        <v>39.840000000000003</v>
      </c>
      <c r="G627" s="511"/>
      <c r="H627" s="511">
        <f t="shared" si="17"/>
        <v>0</v>
      </c>
    </row>
    <row r="628" spans="1:8" ht="39">
      <c r="A628" s="223" t="s">
        <v>1998</v>
      </c>
      <c r="B628" s="433" t="s">
        <v>568</v>
      </c>
      <c r="C628" s="39" t="s">
        <v>755</v>
      </c>
      <c r="D628" s="314" t="s">
        <v>2343</v>
      </c>
      <c r="E628" s="415" t="s">
        <v>4</v>
      </c>
      <c r="F628" s="498">
        <f>(10.46+10.56)*1.15</f>
        <v>24.173000000000002</v>
      </c>
      <c r="G628" s="511"/>
      <c r="H628" s="511">
        <f t="shared" si="17"/>
        <v>0</v>
      </c>
    </row>
    <row r="629" spans="1:8" ht="22">
      <c r="A629" s="223" t="s">
        <v>1999</v>
      </c>
      <c r="B629" s="433" t="s">
        <v>319</v>
      </c>
      <c r="C629" s="39"/>
      <c r="D629" s="314" t="s">
        <v>2342</v>
      </c>
      <c r="E629" s="415" t="s">
        <v>4</v>
      </c>
      <c r="F629" s="498">
        <f>10.46+10.56</f>
        <v>21.020000000000003</v>
      </c>
      <c r="G629" s="511"/>
      <c r="H629" s="511">
        <f t="shared" si="17"/>
        <v>0</v>
      </c>
    </row>
    <row r="630" spans="1:8" ht="39">
      <c r="A630" s="223" t="s">
        <v>2000</v>
      </c>
      <c r="B630" s="433" t="s">
        <v>573</v>
      </c>
      <c r="C630" s="39" t="s">
        <v>756</v>
      </c>
      <c r="D630" s="314" t="s">
        <v>2344</v>
      </c>
      <c r="E630" s="415" t="s">
        <v>4</v>
      </c>
      <c r="F630" s="408">
        <f>(10.7+11+(8.85+7)*0.15+ (8.85+7)*0.85 + 8.4*0.75)*1.15</f>
        <v>50.427499999999988</v>
      </c>
      <c r="G630" s="511"/>
      <c r="H630" s="511">
        <f t="shared" si="17"/>
        <v>0</v>
      </c>
    </row>
    <row r="631" spans="1:8" ht="26">
      <c r="A631" s="223" t="s">
        <v>2001</v>
      </c>
      <c r="B631" s="433"/>
      <c r="C631" s="39"/>
      <c r="D631" s="314" t="s">
        <v>2345</v>
      </c>
      <c r="E631" s="415"/>
      <c r="F631" s="413"/>
      <c r="G631" s="511"/>
      <c r="H631" s="511"/>
    </row>
    <row r="632" spans="1:8">
      <c r="A632" s="223" t="s">
        <v>2002</v>
      </c>
      <c r="B632" s="433" t="s">
        <v>451</v>
      </c>
      <c r="C632" s="39"/>
      <c r="D632" s="314" t="s">
        <v>2346</v>
      </c>
      <c r="E632" s="415" t="s">
        <v>4</v>
      </c>
      <c r="F632" s="408">
        <f>10.7+11+(8.85+7)*0.15</f>
        <v>24.077500000000001</v>
      </c>
      <c r="G632" s="511"/>
      <c r="H632" s="511">
        <f t="shared" si="17"/>
        <v>0</v>
      </c>
    </row>
    <row r="633" spans="1:8">
      <c r="A633" s="223" t="s">
        <v>2003</v>
      </c>
      <c r="B633" s="433" t="s">
        <v>453</v>
      </c>
      <c r="C633" s="39"/>
      <c r="D633" s="314" t="s">
        <v>2347</v>
      </c>
      <c r="E633" s="415" t="s">
        <v>4</v>
      </c>
      <c r="F633" s="408">
        <f>(8.85+7)*0.85 + 8.4*0.75</f>
        <v>19.772500000000001</v>
      </c>
      <c r="G633" s="511"/>
      <c r="H633" s="511">
        <f t="shared" si="17"/>
        <v>0</v>
      </c>
    </row>
    <row r="634" spans="1:8" ht="26">
      <c r="A634" s="223" t="s">
        <v>2004</v>
      </c>
      <c r="B634" s="433" t="s">
        <v>578</v>
      </c>
      <c r="C634" s="39" t="s">
        <v>757</v>
      </c>
      <c r="D634" s="314" t="s">
        <v>2348</v>
      </c>
      <c r="E634" s="415" t="s">
        <v>4</v>
      </c>
      <c r="F634" s="213">
        <f>10.7+11+(8.85+7)*0.15+ (8.85+7)*0.85 + 8.4*0.75</f>
        <v>43.849999999999994</v>
      </c>
      <c r="G634" s="511"/>
      <c r="H634" s="511">
        <f t="shared" si="17"/>
        <v>0</v>
      </c>
    </row>
    <row r="635" spans="1:8">
      <c r="A635" s="223" t="s">
        <v>2005</v>
      </c>
      <c r="B635" s="403" t="s">
        <v>508</v>
      </c>
      <c r="C635" s="388"/>
      <c r="D635" s="314" t="s">
        <v>580</v>
      </c>
      <c r="E635" s="415"/>
      <c r="F635" s="413"/>
      <c r="G635" s="511"/>
      <c r="H635" s="511"/>
    </row>
    <row r="636" spans="1:8" ht="22">
      <c r="A636" s="223" t="s">
        <v>2006</v>
      </c>
      <c r="B636" s="433" t="s">
        <v>87</v>
      </c>
      <c r="C636" s="39" t="s">
        <v>758</v>
      </c>
      <c r="D636" s="314" t="s">
        <v>2349</v>
      </c>
      <c r="E636" s="415" t="s">
        <v>4</v>
      </c>
      <c r="F636" s="413">
        <f>(59.6+5.68+6.2)</f>
        <v>71.48</v>
      </c>
      <c r="G636" s="511"/>
      <c r="H636" s="511">
        <f t="shared" si="17"/>
        <v>0</v>
      </c>
    </row>
    <row r="637" spans="1:8">
      <c r="A637" s="223" t="s">
        <v>2007</v>
      </c>
      <c r="B637" s="433"/>
      <c r="C637" s="39"/>
      <c r="D637" s="314" t="s">
        <v>2350</v>
      </c>
      <c r="E637" s="415"/>
      <c r="F637" s="413"/>
      <c r="G637" s="511"/>
      <c r="H637" s="511"/>
    </row>
    <row r="638" spans="1:8" ht="39">
      <c r="A638" s="223" t="s">
        <v>2008</v>
      </c>
      <c r="B638" s="433" t="s">
        <v>87</v>
      </c>
      <c r="C638" s="39" t="s">
        <v>2351</v>
      </c>
      <c r="D638" s="314" t="s">
        <v>2352</v>
      </c>
      <c r="E638" s="499" t="s">
        <v>7</v>
      </c>
      <c r="F638" s="213">
        <v>2</v>
      </c>
      <c r="G638" s="511"/>
      <c r="H638" s="511">
        <f t="shared" si="17"/>
        <v>0</v>
      </c>
    </row>
    <row r="639" spans="1:8" ht="39">
      <c r="A639" s="223" t="s">
        <v>2009</v>
      </c>
      <c r="B639" s="433" t="s">
        <v>87</v>
      </c>
      <c r="C639" s="39" t="s">
        <v>2353</v>
      </c>
      <c r="D639" s="314" t="s">
        <v>2354</v>
      </c>
      <c r="E639" s="499" t="s">
        <v>7</v>
      </c>
      <c r="F639" s="213">
        <v>2</v>
      </c>
      <c r="G639" s="511"/>
      <c r="H639" s="511">
        <f t="shared" si="17"/>
        <v>0</v>
      </c>
    </row>
    <row r="640" spans="1:8" ht="26">
      <c r="A640" s="223" t="s">
        <v>2010</v>
      </c>
      <c r="B640" s="433" t="s">
        <v>87</v>
      </c>
      <c r="C640" s="39" t="s">
        <v>2355</v>
      </c>
      <c r="D640" s="314" t="s">
        <v>2356</v>
      </c>
      <c r="E640" s="499" t="s">
        <v>7</v>
      </c>
      <c r="F640" s="213">
        <v>2</v>
      </c>
      <c r="G640" s="511"/>
      <c r="H640" s="511">
        <f t="shared" si="17"/>
        <v>0</v>
      </c>
    </row>
    <row r="641" spans="1:8" ht="52">
      <c r="A641" s="223" t="s">
        <v>2011</v>
      </c>
      <c r="B641" s="433" t="s">
        <v>87</v>
      </c>
      <c r="C641" s="39" t="s">
        <v>2357</v>
      </c>
      <c r="D641" s="314" t="s">
        <v>2358</v>
      </c>
      <c r="E641" s="499" t="s">
        <v>7</v>
      </c>
      <c r="F641" s="213">
        <v>2</v>
      </c>
      <c r="G641" s="511"/>
      <c r="H641" s="511">
        <f t="shared" si="17"/>
        <v>0</v>
      </c>
    </row>
    <row r="642" spans="1:8" ht="26">
      <c r="A642" s="223" t="s">
        <v>2012</v>
      </c>
      <c r="B642" s="433" t="s">
        <v>87</v>
      </c>
      <c r="C642" s="39" t="s">
        <v>2359</v>
      </c>
      <c r="D642" s="314" t="s">
        <v>2360</v>
      </c>
      <c r="E642" s="499" t="s">
        <v>2</v>
      </c>
      <c r="F642" s="213">
        <f>8+11.35</f>
        <v>19.350000000000001</v>
      </c>
      <c r="G642" s="511"/>
      <c r="H642" s="511">
        <f t="shared" si="17"/>
        <v>0</v>
      </c>
    </row>
    <row r="643" spans="1:8" ht="39">
      <c r="A643" s="223" t="s">
        <v>2013</v>
      </c>
      <c r="B643" s="433" t="s">
        <v>87</v>
      </c>
      <c r="C643" s="39" t="s">
        <v>2361</v>
      </c>
      <c r="D643" s="314" t="s">
        <v>2362</v>
      </c>
      <c r="E643" s="499" t="s">
        <v>4</v>
      </c>
      <c r="F643" s="213">
        <f>28.9*0.4</f>
        <v>11.56</v>
      </c>
      <c r="G643" s="511"/>
      <c r="H643" s="511">
        <f>F643*G643</f>
        <v>0</v>
      </c>
    </row>
    <row r="644" spans="1:8" ht="26">
      <c r="A644" s="223" t="s">
        <v>2014</v>
      </c>
      <c r="B644" s="433" t="s">
        <v>87</v>
      </c>
      <c r="C644" s="39" t="s">
        <v>2363</v>
      </c>
      <c r="D644" s="314" t="s">
        <v>2364</v>
      </c>
      <c r="E644" s="499" t="s">
        <v>2</v>
      </c>
      <c r="F644" s="213">
        <f>(27.3+4.3)*2</f>
        <v>63.2</v>
      </c>
      <c r="G644" s="511"/>
      <c r="H644" s="511">
        <f t="shared" si="17"/>
        <v>0</v>
      </c>
    </row>
    <row r="645" spans="1:8" ht="26">
      <c r="A645" s="223" t="s">
        <v>2015</v>
      </c>
      <c r="B645" s="433" t="s">
        <v>87</v>
      </c>
      <c r="C645" s="277"/>
      <c r="D645" s="314" t="s">
        <v>2365</v>
      </c>
      <c r="E645" s="499" t="s">
        <v>2</v>
      </c>
      <c r="F645" s="213">
        <v>5</v>
      </c>
      <c r="G645" s="511"/>
      <c r="H645" s="511">
        <f t="shared" si="17"/>
        <v>0</v>
      </c>
    </row>
    <row r="646" spans="1:8" ht="39">
      <c r="A646" s="223" t="s">
        <v>2016</v>
      </c>
      <c r="B646" s="433" t="s">
        <v>87</v>
      </c>
      <c r="C646" s="277"/>
      <c r="D646" s="314" t="s">
        <v>2366</v>
      </c>
      <c r="E646" s="499" t="s">
        <v>7</v>
      </c>
      <c r="F646" s="213">
        <v>34</v>
      </c>
      <c r="G646" s="511"/>
      <c r="H646" s="511">
        <f t="shared" si="17"/>
        <v>0</v>
      </c>
    </row>
    <row r="647" spans="1:8" ht="39">
      <c r="A647" s="223" t="s">
        <v>2017</v>
      </c>
      <c r="B647" s="433" t="s">
        <v>87</v>
      </c>
      <c r="C647" s="277"/>
      <c r="D647" s="314" t="s">
        <v>2367</v>
      </c>
      <c r="E647" s="499" t="s">
        <v>7</v>
      </c>
      <c r="F647" s="213">
        <v>15</v>
      </c>
      <c r="G647" s="511"/>
      <c r="H647" s="511">
        <f t="shared" si="17"/>
        <v>0</v>
      </c>
    </row>
    <row r="648" spans="1:8" ht="39">
      <c r="A648" s="223" t="s">
        <v>2018</v>
      </c>
      <c r="B648" s="433" t="s">
        <v>87</v>
      </c>
      <c r="C648" s="277"/>
      <c r="D648" s="314" t="s">
        <v>2368</v>
      </c>
      <c r="E648" s="499" t="s">
        <v>7</v>
      </c>
      <c r="F648" s="165">
        <v>32</v>
      </c>
      <c r="G648" s="511"/>
      <c r="H648" s="511">
        <f t="shared" si="17"/>
        <v>0</v>
      </c>
    </row>
    <row r="649" spans="1:8" ht="22">
      <c r="A649" s="223" t="s">
        <v>2019</v>
      </c>
      <c r="B649" s="433" t="s">
        <v>87</v>
      </c>
      <c r="C649" s="277"/>
      <c r="D649" s="314" t="s">
        <v>2369</v>
      </c>
      <c r="E649" s="499" t="s">
        <v>4</v>
      </c>
      <c r="F649" s="417">
        <f>2.4*0.2*2</f>
        <v>0.96</v>
      </c>
      <c r="G649" s="511"/>
      <c r="H649" s="511">
        <f t="shared" si="17"/>
        <v>0</v>
      </c>
    </row>
    <row r="650" spans="1:8" ht="26">
      <c r="A650" s="223" t="s">
        <v>2020</v>
      </c>
      <c r="B650" s="433" t="s">
        <v>87</v>
      </c>
      <c r="C650" s="277"/>
      <c r="D650" s="314" t="s">
        <v>2370</v>
      </c>
      <c r="E650" s="499" t="s">
        <v>7</v>
      </c>
      <c r="F650" s="417">
        <v>1</v>
      </c>
      <c r="G650" s="511"/>
      <c r="H650" s="511">
        <f t="shared" si="17"/>
        <v>0</v>
      </c>
    </row>
    <row r="651" spans="1:8" ht="26">
      <c r="A651" s="223" t="s">
        <v>2021</v>
      </c>
      <c r="B651" s="433"/>
      <c r="C651" s="277"/>
      <c r="D651" s="213" t="s">
        <v>959</v>
      </c>
      <c r="E651" s="415" t="s">
        <v>7</v>
      </c>
      <c r="F651" s="413">
        <v>7</v>
      </c>
      <c r="G651" s="511"/>
      <c r="H651" s="511">
        <f>F651*G651</f>
        <v>0</v>
      </c>
    </row>
    <row r="652" spans="1:8" ht="26">
      <c r="A652" s="223" t="s">
        <v>2022</v>
      </c>
      <c r="B652" s="433" t="s">
        <v>87</v>
      </c>
      <c r="C652" s="277"/>
      <c r="D652" s="213" t="s">
        <v>2371</v>
      </c>
      <c r="E652" s="499" t="s">
        <v>4</v>
      </c>
      <c r="F652" s="417">
        <f>SUM(F653:F656)</f>
        <v>51.587999999999994</v>
      </c>
      <c r="G652" s="511"/>
      <c r="H652" s="511">
        <f>F652*G652</f>
        <v>0</v>
      </c>
    </row>
    <row r="653" spans="1:8" ht="26">
      <c r="A653" s="223" t="s">
        <v>2023</v>
      </c>
      <c r="B653" s="433"/>
      <c r="C653" s="277"/>
      <c r="D653" s="213" t="s">
        <v>2372</v>
      </c>
      <c r="E653" s="499" t="s">
        <v>4</v>
      </c>
      <c r="F653" s="449">
        <f>2.5*4*1+ (0.72+0.97)*2*0.6+0.5*0.5+0.6*0.2</f>
        <v>12.398</v>
      </c>
      <c r="G653" s="511"/>
      <c r="H653" s="511"/>
    </row>
    <row r="654" spans="1:8">
      <c r="A654" s="223" t="s">
        <v>2024</v>
      </c>
      <c r="B654" s="433"/>
      <c r="C654" s="277"/>
      <c r="D654" s="213" t="s">
        <v>597</v>
      </c>
      <c r="E654" s="499" t="s">
        <v>4</v>
      </c>
      <c r="F654" s="449">
        <f>1.05*28.9</f>
        <v>30.344999999999999</v>
      </c>
      <c r="G654" s="511"/>
      <c r="H654" s="511"/>
    </row>
    <row r="655" spans="1:8">
      <c r="A655" s="223" t="s">
        <v>2025</v>
      </c>
      <c r="B655" s="433"/>
      <c r="C655" s="277"/>
      <c r="D655" s="213" t="s">
        <v>598</v>
      </c>
      <c r="E655" s="499" t="s">
        <v>4</v>
      </c>
      <c r="F655" s="449">
        <f xml:space="preserve"> 0.9*8.45</f>
        <v>7.6049999999999995</v>
      </c>
      <c r="G655" s="511"/>
      <c r="H655" s="511"/>
    </row>
    <row r="656" spans="1:8" ht="26">
      <c r="A656" s="223" t="s">
        <v>2026</v>
      </c>
      <c r="B656" s="433"/>
      <c r="C656" s="277"/>
      <c r="D656" s="213" t="s">
        <v>599</v>
      </c>
      <c r="E656" s="499" t="s">
        <v>4</v>
      </c>
      <c r="F656" s="163">
        <f>0.5*0.5*2 + 1.2*0.2*2+0.65*0.2*2</f>
        <v>1.24</v>
      </c>
      <c r="G656" s="511"/>
      <c r="H656" s="511"/>
    </row>
    <row r="657" spans="1:8" ht="24">
      <c r="A657" s="223" t="s">
        <v>2027</v>
      </c>
      <c r="B657" s="658"/>
      <c r="C657" s="669" t="s">
        <v>600</v>
      </c>
      <c r="D657" s="695" t="s">
        <v>601</v>
      </c>
      <c r="E657" s="696"/>
      <c r="F657" s="662"/>
      <c r="G657" s="681"/>
      <c r="H657" s="681"/>
    </row>
    <row r="658" spans="1:8" ht="39">
      <c r="A658" s="223" t="s">
        <v>2028</v>
      </c>
      <c r="B658" s="433" t="s">
        <v>87</v>
      </c>
      <c r="C658" s="39" t="s">
        <v>766</v>
      </c>
      <c r="D658" s="314" t="s">
        <v>2373</v>
      </c>
      <c r="E658" s="499" t="s">
        <v>4</v>
      </c>
      <c r="F658" s="408">
        <f>30.95*1.1+(8+3.1+3.35)*0.1*1.1</f>
        <v>35.634500000000003</v>
      </c>
      <c r="G658" s="511"/>
      <c r="H658" s="511">
        <f t="shared" si="17"/>
        <v>0</v>
      </c>
    </row>
    <row r="659" spans="1:8" ht="22">
      <c r="A659" s="223" t="s">
        <v>2029</v>
      </c>
      <c r="B659" s="433" t="s">
        <v>87</v>
      </c>
      <c r="C659" s="39" t="s">
        <v>767</v>
      </c>
      <c r="D659" s="314" t="s">
        <v>2374</v>
      </c>
      <c r="E659" s="499" t="s">
        <v>4</v>
      </c>
      <c r="F659" s="408">
        <f>30.95*1.1</f>
        <v>34.045000000000002</v>
      </c>
      <c r="G659" s="510"/>
      <c r="H659" s="511">
        <f t="shared" si="17"/>
        <v>0</v>
      </c>
    </row>
    <row r="660" spans="1:8" ht="22">
      <c r="A660" s="223" t="s">
        <v>2030</v>
      </c>
      <c r="B660" s="433" t="s">
        <v>87</v>
      </c>
      <c r="C660" s="39" t="s">
        <v>768</v>
      </c>
      <c r="D660" s="314" t="s">
        <v>2375</v>
      </c>
      <c r="E660" s="499" t="s">
        <v>4</v>
      </c>
      <c r="F660" s="408">
        <v>30.95</v>
      </c>
      <c r="G660" s="510"/>
      <c r="H660" s="511">
        <f t="shared" si="17"/>
        <v>0</v>
      </c>
    </row>
    <row r="661" spans="1:8" ht="26">
      <c r="A661" s="223" t="s">
        <v>2031</v>
      </c>
      <c r="B661" s="433" t="s">
        <v>568</v>
      </c>
      <c r="C661" s="39" t="s">
        <v>769</v>
      </c>
      <c r="D661" s="314" t="s">
        <v>2376</v>
      </c>
      <c r="E661" s="499" t="s">
        <v>4</v>
      </c>
      <c r="F661" s="408">
        <f>(31.75+(13.5+3.4)*0.15+ (13.5+3.4)*0.65)*1.15</f>
        <v>52.06049999999999</v>
      </c>
      <c r="G661" s="511"/>
      <c r="H661" s="511">
        <f t="shared" si="17"/>
        <v>0</v>
      </c>
    </row>
    <row r="662" spans="1:8" ht="26">
      <c r="A662" s="223" t="s">
        <v>2032</v>
      </c>
      <c r="B662" s="433"/>
      <c r="C662" s="39"/>
      <c r="D662" s="314" t="s">
        <v>2377</v>
      </c>
      <c r="E662" s="499"/>
      <c r="F662" s="412"/>
      <c r="G662" s="510"/>
      <c r="H662" s="511">
        <f t="shared" si="17"/>
        <v>0</v>
      </c>
    </row>
    <row r="663" spans="1:8" ht="22">
      <c r="A663" s="223" t="s">
        <v>2033</v>
      </c>
      <c r="B663" s="433" t="s">
        <v>319</v>
      </c>
      <c r="C663" s="39"/>
      <c r="D663" s="314" t="s">
        <v>2378</v>
      </c>
      <c r="E663" s="499" t="s">
        <v>4</v>
      </c>
      <c r="F663" s="213">
        <f>31.75+(13.5+3.4)*0.15+ (13.5+3.4)*0.65</f>
        <v>45.269999999999996</v>
      </c>
      <c r="G663" s="510"/>
      <c r="H663" s="511">
        <f t="shared" si="17"/>
        <v>0</v>
      </c>
    </row>
    <row r="664" spans="1:8" ht="22">
      <c r="A664" s="223" t="s">
        <v>2034</v>
      </c>
      <c r="B664" s="433" t="s">
        <v>568</v>
      </c>
      <c r="C664" s="39" t="s">
        <v>2379</v>
      </c>
      <c r="D664" s="314" t="s">
        <v>2380</v>
      </c>
      <c r="E664" s="499" t="s">
        <v>4</v>
      </c>
      <c r="F664" s="408">
        <f>(31.75+(13.5+3.4)*0.15+ (13.5+3.4)*0.65)*1.15</f>
        <v>52.06049999999999</v>
      </c>
      <c r="G664" s="511"/>
      <c r="H664" s="511">
        <f t="shared" si="17"/>
        <v>0</v>
      </c>
    </row>
    <row r="665" spans="1:8" ht="22">
      <c r="A665" s="223" t="s">
        <v>2035</v>
      </c>
      <c r="B665" s="433" t="s">
        <v>319</v>
      </c>
      <c r="C665" s="39"/>
      <c r="D665" s="314" t="s">
        <v>2381</v>
      </c>
      <c r="E665" s="499" t="s">
        <v>4</v>
      </c>
      <c r="F665" s="213">
        <v>45.27</v>
      </c>
      <c r="G665" s="511"/>
      <c r="H665" s="511">
        <f t="shared" si="17"/>
        <v>0</v>
      </c>
    </row>
    <row r="666" spans="1:8" ht="39">
      <c r="A666" s="223" t="s">
        <v>2036</v>
      </c>
      <c r="B666" s="433" t="s">
        <v>568</v>
      </c>
      <c r="C666" s="39" t="s">
        <v>771</v>
      </c>
      <c r="D666" s="314" t="s">
        <v>2382</v>
      </c>
      <c r="E666" s="499" t="s">
        <v>4</v>
      </c>
      <c r="F666" s="408">
        <f>30.95*1.15</f>
        <v>35.592499999999994</v>
      </c>
      <c r="G666" s="511"/>
      <c r="H666" s="511">
        <f t="shared" si="17"/>
        <v>0</v>
      </c>
    </row>
    <row r="667" spans="1:8" ht="22">
      <c r="A667" s="223" t="s">
        <v>2037</v>
      </c>
      <c r="B667" s="433" t="s">
        <v>319</v>
      </c>
      <c r="C667" s="39"/>
      <c r="D667" s="314" t="s">
        <v>611</v>
      </c>
      <c r="E667" s="499" t="s">
        <v>4</v>
      </c>
      <c r="F667" s="408">
        <v>30.95</v>
      </c>
      <c r="G667" s="510"/>
      <c r="H667" s="511">
        <f t="shared" si="17"/>
        <v>0</v>
      </c>
    </row>
    <row r="668" spans="1:8" ht="39">
      <c r="A668" s="223" t="s">
        <v>2038</v>
      </c>
      <c r="B668" s="433" t="s">
        <v>573</v>
      </c>
      <c r="C668" s="39" t="s">
        <v>772</v>
      </c>
      <c r="D668" s="314" t="s">
        <v>2383</v>
      </c>
      <c r="E668" s="415" t="s">
        <v>4</v>
      </c>
      <c r="F668" s="408">
        <f>(31.75+(13.5+3.4)*0.85)*1.15</f>
        <v>53.032249999999991</v>
      </c>
      <c r="G668" s="511"/>
      <c r="H668" s="511">
        <f>F668*G668</f>
        <v>0</v>
      </c>
    </row>
    <row r="669" spans="1:8">
      <c r="A669" s="223" t="s">
        <v>2039</v>
      </c>
      <c r="B669" s="433"/>
      <c r="C669" s="39"/>
      <c r="D669" s="314" t="s">
        <v>613</v>
      </c>
      <c r="E669" s="499"/>
      <c r="F669" s="412"/>
      <c r="G669" s="511"/>
      <c r="H669" s="511">
        <f t="shared" si="17"/>
        <v>0</v>
      </c>
    </row>
    <row r="670" spans="1:8">
      <c r="A670" s="223" t="s">
        <v>2040</v>
      </c>
      <c r="B670" s="433" t="s">
        <v>451</v>
      </c>
      <c r="C670" s="39"/>
      <c r="D670" s="314" t="s">
        <v>2384</v>
      </c>
      <c r="E670" s="499" t="s">
        <v>4</v>
      </c>
      <c r="F670" s="409">
        <v>31.75</v>
      </c>
      <c r="G670" s="511"/>
      <c r="H670" s="511">
        <f t="shared" si="17"/>
        <v>0</v>
      </c>
    </row>
    <row r="671" spans="1:8">
      <c r="A671" s="223" t="s">
        <v>2041</v>
      </c>
      <c r="B671" s="433" t="s">
        <v>453</v>
      </c>
      <c r="C671" s="39"/>
      <c r="D671" s="314" t="s">
        <v>2385</v>
      </c>
      <c r="E671" s="499" t="s">
        <v>4</v>
      </c>
      <c r="F671" s="409">
        <f>(13.5+3.4)*0.85</f>
        <v>14.364999999999998</v>
      </c>
      <c r="G671" s="511"/>
      <c r="H671" s="511">
        <f t="shared" si="17"/>
        <v>0</v>
      </c>
    </row>
    <row r="672" spans="1:8">
      <c r="A672" s="223" t="s">
        <v>2042</v>
      </c>
      <c r="B672" s="433" t="s">
        <v>578</v>
      </c>
      <c r="C672" s="39" t="s">
        <v>773</v>
      </c>
      <c r="D672" s="314" t="s">
        <v>2386</v>
      </c>
      <c r="E672" s="499" t="s">
        <v>4</v>
      </c>
      <c r="F672" s="408">
        <f>(31.75+(13.5+3.4)*0.85)</f>
        <v>46.114999999999995</v>
      </c>
      <c r="G672" s="511"/>
      <c r="H672" s="511">
        <f t="shared" si="17"/>
        <v>0</v>
      </c>
    </row>
    <row r="673" spans="1:8">
      <c r="A673" s="223" t="s">
        <v>2043</v>
      </c>
      <c r="B673" s="433"/>
      <c r="C673" s="39"/>
      <c r="D673" s="314" t="s">
        <v>2387</v>
      </c>
      <c r="E673" s="499"/>
      <c r="F673" s="408"/>
      <c r="G673" s="511"/>
      <c r="H673" s="511"/>
    </row>
    <row r="674" spans="1:8">
      <c r="A674" s="223" t="s">
        <v>2044</v>
      </c>
      <c r="B674" s="403" t="s">
        <v>508</v>
      </c>
      <c r="C674" s="39" t="s">
        <v>508</v>
      </c>
      <c r="D674" s="314" t="s">
        <v>618</v>
      </c>
      <c r="E674" s="499"/>
      <c r="F674" s="413"/>
      <c r="G674" s="511"/>
      <c r="H674" s="511"/>
    </row>
    <row r="675" spans="1:8" ht="26">
      <c r="A675" s="223" t="s">
        <v>2045</v>
      </c>
      <c r="B675" s="433" t="s">
        <v>619</v>
      </c>
      <c r="C675" s="39" t="s">
        <v>774</v>
      </c>
      <c r="D675" s="314" t="s">
        <v>2388</v>
      </c>
      <c r="E675" s="499"/>
      <c r="F675" s="413"/>
      <c r="G675" s="511"/>
      <c r="H675" s="511"/>
    </row>
    <row r="676" spans="1:8">
      <c r="A676" s="223" t="s">
        <v>2046</v>
      </c>
      <c r="B676" s="679" t="s">
        <v>600</v>
      </c>
      <c r="C676" s="669"/>
      <c r="D676" s="695" t="s">
        <v>622</v>
      </c>
      <c r="E676" s="661"/>
      <c r="F676" s="662"/>
      <c r="G676" s="681"/>
      <c r="H676" s="681"/>
    </row>
    <row r="677" spans="1:8">
      <c r="A677" s="223" t="s">
        <v>2047</v>
      </c>
      <c r="B677" s="433"/>
      <c r="C677" s="39" t="s">
        <v>776</v>
      </c>
      <c r="D677" s="314" t="s">
        <v>2389</v>
      </c>
      <c r="E677" s="415" t="s">
        <v>4</v>
      </c>
      <c r="F677" s="408">
        <f>2.38*2.38</f>
        <v>5.6643999999999997</v>
      </c>
      <c r="G677" s="511"/>
      <c r="H677" s="511">
        <f>F677*G677</f>
        <v>0</v>
      </c>
    </row>
    <row r="678" spans="1:8" ht="26">
      <c r="A678" s="223" t="s">
        <v>2048</v>
      </c>
      <c r="B678" s="433" t="s">
        <v>568</v>
      </c>
      <c r="C678" s="39" t="s">
        <v>777</v>
      </c>
      <c r="D678" s="314" t="s">
        <v>2390</v>
      </c>
      <c r="E678" s="415" t="s">
        <v>4</v>
      </c>
      <c r="F678" s="408">
        <f xml:space="preserve"> (2.38*2.38+(2.38*4)*0.15+2.38*4*0.8+(0.72+0.92)*2*0.3)*1.15</f>
        <v>18.046259999999997</v>
      </c>
      <c r="G678" s="511"/>
      <c r="H678" s="511">
        <f t="shared" ref="H678:H694" si="18">F678*G678</f>
        <v>0</v>
      </c>
    </row>
    <row r="679" spans="1:8" ht="24">
      <c r="A679" s="223" t="s">
        <v>2049</v>
      </c>
      <c r="B679" s="433"/>
      <c r="C679" s="39"/>
      <c r="D679" s="501" t="s">
        <v>2391</v>
      </c>
      <c r="E679" s="415"/>
      <c r="F679" s="413"/>
      <c r="G679" s="511"/>
      <c r="H679" s="511"/>
    </row>
    <row r="680" spans="1:8" ht="22">
      <c r="A680" s="223" t="s">
        <v>2050</v>
      </c>
      <c r="B680" s="433" t="s">
        <v>319</v>
      </c>
      <c r="C680" s="39"/>
      <c r="D680" s="314" t="s">
        <v>2392</v>
      </c>
      <c r="E680" s="415" t="s">
        <v>4</v>
      </c>
      <c r="F680" s="408">
        <v>15.69</v>
      </c>
      <c r="G680" s="511"/>
      <c r="H680" s="511">
        <f t="shared" si="18"/>
        <v>0</v>
      </c>
    </row>
    <row r="681" spans="1:8" ht="22">
      <c r="A681" s="223" t="s">
        <v>2051</v>
      </c>
      <c r="B681" s="433" t="s">
        <v>568</v>
      </c>
      <c r="C681" s="39" t="s">
        <v>2393</v>
      </c>
      <c r="D681" s="314" t="s">
        <v>2394</v>
      </c>
      <c r="E681" s="415" t="s">
        <v>4</v>
      </c>
      <c r="F681" s="408">
        <f xml:space="preserve"> (2.38*2.38+(2.38*4)*0.15+2.38*4*0.8+(0.72+0.92)*2*0.3)*1.15</f>
        <v>18.046259999999997</v>
      </c>
      <c r="G681" s="511"/>
      <c r="H681" s="511">
        <f t="shared" si="18"/>
        <v>0</v>
      </c>
    </row>
    <row r="682" spans="1:8" ht="22">
      <c r="A682" s="223" t="s">
        <v>2052</v>
      </c>
      <c r="B682" s="433" t="s">
        <v>319</v>
      </c>
      <c r="C682" s="39"/>
      <c r="D682" s="314" t="s">
        <v>2395</v>
      </c>
      <c r="E682" s="415" t="s">
        <v>4</v>
      </c>
      <c r="F682" s="213">
        <v>15.69</v>
      </c>
      <c r="G682" s="511"/>
      <c r="H682" s="511">
        <f t="shared" si="18"/>
        <v>0</v>
      </c>
    </row>
    <row r="683" spans="1:8" ht="26">
      <c r="A683" s="223" t="s">
        <v>2053</v>
      </c>
      <c r="B683" s="433" t="s">
        <v>568</v>
      </c>
      <c r="C683" s="39" t="s">
        <v>779</v>
      </c>
      <c r="D683" s="314" t="s">
        <v>2396</v>
      </c>
      <c r="E683" s="415" t="s">
        <v>4</v>
      </c>
      <c r="F683" s="408">
        <f>(2.38*2.38)*1.15</f>
        <v>6.5140599999999989</v>
      </c>
      <c r="G683" s="511"/>
      <c r="H683" s="511">
        <f t="shared" si="18"/>
        <v>0</v>
      </c>
    </row>
    <row r="684" spans="1:8" ht="22">
      <c r="A684" s="223" t="s">
        <v>2054</v>
      </c>
      <c r="B684" s="433" t="s">
        <v>319</v>
      </c>
      <c r="C684" s="39"/>
      <c r="D684" s="314" t="s">
        <v>630</v>
      </c>
      <c r="E684" s="415" t="s">
        <v>4</v>
      </c>
      <c r="F684" s="213">
        <v>5.66</v>
      </c>
      <c r="G684" s="511"/>
      <c r="H684" s="511">
        <f t="shared" si="18"/>
        <v>0</v>
      </c>
    </row>
    <row r="685" spans="1:8" ht="39">
      <c r="A685" s="223" t="s">
        <v>2055</v>
      </c>
      <c r="B685" s="433" t="s">
        <v>568</v>
      </c>
      <c r="C685" s="39" t="s">
        <v>780</v>
      </c>
      <c r="D685" s="314" t="s">
        <v>2397</v>
      </c>
      <c r="E685" s="415" t="s">
        <v>4</v>
      </c>
      <c r="F685" s="408">
        <f>(2.38*2.38+(2.38*4)*0.15+2.38*4*1+(0.72+0.92)*2*0.5)*1.15</f>
        <v>20.990259999999999</v>
      </c>
      <c r="G685" s="511"/>
      <c r="H685" s="511">
        <f t="shared" si="18"/>
        <v>0</v>
      </c>
    </row>
    <row r="686" spans="1:8" ht="24">
      <c r="A686" s="223" t="s">
        <v>2056</v>
      </c>
      <c r="B686" s="433"/>
      <c r="C686" s="39"/>
      <c r="D686" s="501" t="s">
        <v>631</v>
      </c>
      <c r="E686" s="415"/>
      <c r="F686" s="413"/>
      <c r="G686" s="511"/>
      <c r="H686" s="511"/>
    </row>
    <row r="687" spans="1:8">
      <c r="A687" s="223" t="s">
        <v>2057</v>
      </c>
      <c r="B687" s="433" t="s">
        <v>451</v>
      </c>
      <c r="C687" s="39"/>
      <c r="D687" s="314" t="s">
        <v>2398</v>
      </c>
      <c r="E687" s="415" t="s">
        <v>4</v>
      </c>
      <c r="F687" s="408">
        <f>2.38*2.38</f>
        <v>5.6643999999999997</v>
      </c>
      <c r="G687" s="511"/>
      <c r="H687" s="511">
        <f t="shared" si="18"/>
        <v>0</v>
      </c>
    </row>
    <row r="688" spans="1:8">
      <c r="A688" s="223" t="s">
        <v>2058</v>
      </c>
      <c r="B688" s="433" t="s">
        <v>453</v>
      </c>
      <c r="C688" s="39"/>
      <c r="D688" s="314" t="s">
        <v>2399</v>
      </c>
      <c r="E688" s="415" t="s">
        <v>4</v>
      </c>
      <c r="F688" s="408">
        <f>(2.38*4*0.15+2.38*4*1+(0.72+0.92)*2*0.5)</f>
        <v>12.588000000000001</v>
      </c>
      <c r="G688" s="511"/>
      <c r="H688" s="511">
        <f t="shared" si="18"/>
        <v>0</v>
      </c>
    </row>
    <row r="689" spans="1:9">
      <c r="A689" s="223" t="s">
        <v>2059</v>
      </c>
      <c r="B689" s="433"/>
      <c r="C689" s="39" t="s">
        <v>781</v>
      </c>
      <c r="D689" s="314" t="s">
        <v>2400</v>
      </c>
      <c r="E689" s="415" t="s">
        <v>4</v>
      </c>
      <c r="F689" s="408">
        <f>2.38*2.38</f>
        <v>5.6643999999999997</v>
      </c>
      <c r="G689" s="511"/>
      <c r="H689" s="511">
        <f t="shared" si="18"/>
        <v>0</v>
      </c>
    </row>
    <row r="690" spans="1:9">
      <c r="A690" s="223" t="s">
        <v>2060</v>
      </c>
      <c r="B690" s="403" t="s">
        <v>508</v>
      </c>
      <c r="C690" s="39"/>
      <c r="D690" s="314" t="s">
        <v>799</v>
      </c>
      <c r="E690" s="415"/>
      <c r="F690" s="413"/>
      <c r="G690" s="511"/>
      <c r="H690" s="511"/>
    </row>
    <row r="691" spans="1:9" ht="26">
      <c r="A691" s="223" t="s">
        <v>2061</v>
      </c>
      <c r="B691" s="433"/>
      <c r="C691" s="39"/>
      <c r="D691" s="314" t="s">
        <v>2401</v>
      </c>
      <c r="E691" s="213" t="s">
        <v>2</v>
      </c>
      <c r="F691" s="213">
        <f>2.38*4*2</f>
        <v>19.04</v>
      </c>
      <c r="G691" s="511"/>
      <c r="H691" s="511">
        <f t="shared" si="18"/>
        <v>0</v>
      </c>
    </row>
    <row r="692" spans="1:9" ht="26">
      <c r="A692" s="223" t="s">
        <v>2062</v>
      </c>
      <c r="B692" s="433"/>
      <c r="C692" s="39"/>
      <c r="D692" s="314" t="s">
        <v>2402</v>
      </c>
      <c r="E692" s="213" t="s">
        <v>7</v>
      </c>
      <c r="F692" s="213">
        <v>1</v>
      </c>
      <c r="G692" s="511"/>
      <c r="H692" s="511">
        <f t="shared" si="18"/>
        <v>0</v>
      </c>
    </row>
    <row r="693" spans="1:9" ht="26">
      <c r="A693" s="223" t="s">
        <v>2063</v>
      </c>
      <c r="B693" s="433"/>
      <c r="C693" s="39"/>
      <c r="D693" s="500" t="s">
        <v>639</v>
      </c>
      <c r="E693" s="213" t="s">
        <v>7</v>
      </c>
      <c r="F693" s="213">
        <v>1</v>
      </c>
      <c r="G693" s="511"/>
      <c r="H693" s="511">
        <f t="shared" si="18"/>
        <v>0</v>
      </c>
    </row>
    <row r="694" spans="1:9" ht="39">
      <c r="A694" s="223" t="s">
        <v>2064</v>
      </c>
      <c r="B694" s="433"/>
      <c r="C694" s="39"/>
      <c r="D694" s="314" t="s">
        <v>2403</v>
      </c>
      <c r="E694" s="213" t="s">
        <v>7</v>
      </c>
      <c r="F694" s="213">
        <v>1</v>
      </c>
      <c r="G694" s="511"/>
      <c r="H694" s="511">
        <f t="shared" si="18"/>
        <v>0</v>
      </c>
    </row>
    <row r="695" spans="1:9" s="51" customFormat="1">
      <c r="A695" s="223" t="s">
        <v>2065</v>
      </c>
      <c r="B695" s="658"/>
      <c r="C695" s="697"/>
      <c r="D695" s="685" t="s">
        <v>928</v>
      </c>
      <c r="E695" s="661"/>
      <c r="F695" s="662"/>
      <c r="G695" s="681"/>
      <c r="H695" s="681"/>
      <c r="I695" s="240"/>
    </row>
    <row r="696" spans="1:9" s="51" customFormat="1" ht="65">
      <c r="A696" s="223" t="s">
        <v>2066</v>
      </c>
      <c r="B696" s="433" t="s">
        <v>87</v>
      </c>
      <c r="C696" s="45"/>
      <c r="D696" s="137" t="s">
        <v>2404</v>
      </c>
      <c r="E696" s="415" t="s">
        <v>4</v>
      </c>
      <c r="F696" s="413">
        <f>1*2.8</f>
        <v>2.8</v>
      </c>
      <c r="G696" s="511"/>
      <c r="H696" s="511">
        <f t="shared" ref="H696:H704" si="19">F696*G696</f>
        <v>0</v>
      </c>
      <c r="I696" s="240">
        <f>0.00189*F696</f>
        <v>5.2919999999999998E-3</v>
      </c>
    </row>
    <row r="697" spans="1:9" s="51" customFormat="1" ht="22">
      <c r="A697" s="223" t="s">
        <v>2067</v>
      </c>
      <c r="B697" s="433" t="s">
        <v>87</v>
      </c>
      <c r="C697" s="45"/>
      <c r="D697" s="137" t="s">
        <v>930</v>
      </c>
      <c r="E697" s="415" t="s">
        <v>4</v>
      </c>
      <c r="F697" s="413">
        <f>F696</f>
        <v>2.8</v>
      </c>
      <c r="G697" s="511"/>
      <c r="H697" s="511">
        <f t="shared" si="19"/>
        <v>0</v>
      </c>
      <c r="I697" s="240">
        <f>0.00189*F697</f>
        <v>5.2919999999999998E-3</v>
      </c>
    </row>
    <row r="698" spans="1:9" s="51" customFormat="1" ht="22">
      <c r="A698" s="223" t="s">
        <v>2068</v>
      </c>
      <c r="B698" s="433" t="s">
        <v>87</v>
      </c>
      <c r="C698" s="45"/>
      <c r="D698" s="137" t="s">
        <v>931</v>
      </c>
      <c r="E698" s="415" t="s">
        <v>4</v>
      </c>
      <c r="F698" s="413">
        <f>F696</f>
        <v>2.8</v>
      </c>
      <c r="G698" s="511"/>
      <c r="H698" s="511">
        <f t="shared" si="19"/>
        <v>0</v>
      </c>
      <c r="I698" s="240">
        <f>0.001*F698</f>
        <v>2.8E-3</v>
      </c>
    </row>
    <row r="699" spans="1:9" s="51" customFormat="1" ht="39">
      <c r="A699" s="223" t="s">
        <v>2069</v>
      </c>
      <c r="B699" s="433" t="s">
        <v>87</v>
      </c>
      <c r="C699" s="45"/>
      <c r="D699" s="163" t="s">
        <v>2405</v>
      </c>
      <c r="E699" s="415" t="s">
        <v>4</v>
      </c>
      <c r="F699" s="413">
        <f>F696</f>
        <v>2.8</v>
      </c>
      <c r="G699" s="511"/>
      <c r="H699" s="511">
        <f t="shared" si="19"/>
        <v>0</v>
      </c>
      <c r="I699" s="240">
        <f>0.00346*F699</f>
        <v>9.6879999999999987E-3</v>
      </c>
    </row>
    <row r="700" spans="1:9" s="51" customFormat="1" ht="39">
      <c r="A700" s="223" t="s">
        <v>2070</v>
      </c>
      <c r="B700" s="433" t="s">
        <v>87</v>
      </c>
      <c r="C700" s="459"/>
      <c r="D700" s="138" t="s">
        <v>2406</v>
      </c>
      <c r="E700" s="415" t="s">
        <v>4</v>
      </c>
      <c r="F700" s="413">
        <f>F696</f>
        <v>2.8</v>
      </c>
      <c r="G700" s="511"/>
      <c r="H700" s="511">
        <f t="shared" si="19"/>
        <v>0</v>
      </c>
      <c r="I700" s="240">
        <f>0.0047*F700</f>
        <v>1.316E-2</v>
      </c>
    </row>
    <row r="701" spans="1:9" s="51" customFormat="1" ht="22">
      <c r="A701" s="223" t="s">
        <v>2071</v>
      </c>
      <c r="B701" s="433" t="s">
        <v>87</v>
      </c>
      <c r="C701" s="459"/>
      <c r="D701" s="163" t="s">
        <v>2407</v>
      </c>
      <c r="E701" s="415" t="s">
        <v>4</v>
      </c>
      <c r="F701" s="413">
        <f>F696</f>
        <v>2.8</v>
      </c>
      <c r="G701" s="511"/>
      <c r="H701" s="511">
        <f t="shared" si="19"/>
        <v>0</v>
      </c>
      <c r="I701" s="240">
        <f>0.0012*F701</f>
        <v>3.3599999999999997E-3</v>
      </c>
    </row>
    <row r="702" spans="1:9" s="51" customFormat="1" ht="26">
      <c r="A702" s="223" t="s">
        <v>2072</v>
      </c>
      <c r="B702" s="433" t="s">
        <v>929</v>
      </c>
      <c r="C702" s="459"/>
      <c r="D702" s="314" t="s">
        <v>2408</v>
      </c>
      <c r="E702" s="460" t="s">
        <v>4</v>
      </c>
      <c r="F702" s="413">
        <f>F696</f>
        <v>2.8</v>
      </c>
      <c r="G702" s="511"/>
      <c r="H702" s="511">
        <f t="shared" si="19"/>
        <v>0</v>
      </c>
      <c r="I702" s="240">
        <f>0.021*F702</f>
        <v>5.8799999999999998E-2</v>
      </c>
    </row>
    <row r="703" spans="1:9" s="51" customFormat="1" ht="14" thickBot="1">
      <c r="A703" s="223" t="s">
        <v>2073</v>
      </c>
      <c r="B703" s="502">
        <v>713141111</v>
      </c>
      <c r="C703" s="77"/>
      <c r="D703" s="314" t="s">
        <v>2409</v>
      </c>
      <c r="E703" s="415" t="s">
        <v>4</v>
      </c>
      <c r="F703" s="413">
        <f>F702</f>
        <v>2.8</v>
      </c>
      <c r="G703" s="511"/>
      <c r="H703" s="511">
        <f t="shared" si="19"/>
        <v>0</v>
      </c>
      <c r="I703" s="240">
        <f>0.01143*F703</f>
        <v>3.2003999999999998E-2</v>
      </c>
    </row>
    <row r="704" spans="1:9" s="51" customFormat="1" ht="65">
      <c r="A704" s="223" t="s">
        <v>2074</v>
      </c>
      <c r="B704" s="433" t="s">
        <v>87</v>
      </c>
      <c r="C704" s="77"/>
      <c r="D704" s="314" t="s">
        <v>2410</v>
      </c>
      <c r="E704" s="415" t="s">
        <v>2</v>
      </c>
      <c r="F704" s="413">
        <f xml:space="preserve"> 0.5*6+(2.4+0.5)*2</f>
        <v>8.8000000000000007</v>
      </c>
      <c r="G704" s="511"/>
      <c r="H704" s="511">
        <f t="shared" si="19"/>
        <v>0</v>
      </c>
      <c r="I704" s="240">
        <f>0.0047*F704</f>
        <v>4.1360000000000008E-2</v>
      </c>
    </row>
    <row r="705" spans="1:9" s="51" customFormat="1" ht="26">
      <c r="A705" s="223" t="s">
        <v>2075</v>
      </c>
      <c r="B705" s="433"/>
      <c r="C705" s="459"/>
      <c r="D705" s="163" t="s">
        <v>2411</v>
      </c>
      <c r="E705" s="415"/>
      <c r="F705" s="413"/>
      <c r="G705" s="511"/>
      <c r="H705" s="511"/>
      <c r="I705" s="240"/>
    </row>
    <row r="706" spans="1:9" s="51" customFormat="1" ht="15">
      <c r="A706" s="223" t="s">
        <v>2076</v>
      </c>
      <c r="B706" s="658"/>
      <c r="C706" s="659"/>
      <c r="D706" s="648" t="s">
        <v>957</v>
      </c>
      <c r="E706" s="670" t="s">
        <v>48</v>
      </c>
      <c r="F706" s="693" t="s">
        <v>60</v>
      </c>
      <c r="G706" s="681"/>
      <c r="H706" s="719">
        <f>SUM(H708:H800)</f>
        <v>0</v>
      </c>
      <c r="I706" s="694">
        <f>SUM(I707:I800)</f>
        <v>7.6701750460000007</v>
      </c>
    </row>
    <row r="707" spans="1:9" s="51" customFormat="1" ht="28">
      <c r="A707" s="223" t="s">
        <v>2077</v>
      </c>
      <c r="B707" s="658"/>
      <c r="C707" s="648" t="s">
        <v>827</v>
      </c>
      <c r="D707" s="667" t="s">
        <v>828</v>
      </c>
      <c r="E707" s="661"/>
      <c r="F707" s="662"/>
      <c r="G707" s="681"/>
      <c r="H707" s="681"/>
      <c r="I707" s="656"/>
    </row>
    <row r="708" spans="1:9" s="51" customFormat="1" ht="15">
      <c r="A708" s="223" t="s">
        <v>2078</v>
      </c>
      <c r="B708" s="433" t="s">
        <v>508</v>
      </c>
      <c r="C708" s="77" t="s">
        <v>829</v>
      </c>
      <c r="D708" s="213" t="s">
        <v>830</v>
      </c>
      <c r="E708" s="415"/>
      <c r="F708" s="413"/>
      <c r="G708" s="511"/>
      <c r="H708" s="511"/>
      <c r="I708" s="240"/>
    </row>
    <row r="709" spans="1:9" s="51" customFormat="1" ht="26">
      <c r="A709" s="223" t="s">
        <v>2079</v>
      </c>
      <c r="B709" s="433"/>
      <c r="C709" s="76"/>
      <c r="D709" s="213" t="s">
        <v>2412</v>
      </c>
      <c r="E709" s="415"/>
      <c r="F709" s="413"/>
      <c r="G709" s="511"/>
      <c r="H709" s="511"/>
      <c r="I709" s="240"/>
    </row>
    <row r="710" spans="1:9" s="51" customFormat="1" ht="98">
      <c r="A710" s="223" t="s">
        <v>2080</v>
      </c>
      <c r="B710" s="433"/>
      <c r="C710" s="77" t="s">
        <v>831</v>
      </c>
      <c r="D710" s="46" t="s">
        <v>2413</v>
      </c>
      <c r="E710" s="415"/>
      <c r="F710" s="413"/>
      <c r="G710" s="511"/>
      <c r="H710" s="511"/>
      <c r="I710" s="240"/>
    </row>
    <row r="711" spans="1:9" s="51" customFormat="1" ht="28">
      <c r="A711" s="223" t="s">
        <v>2081</v>
      </c>
      <c r="B711" s="658"/>
      <c r="C711" s="648" t="s">
        <v>834</v>
      </c>
      <c r="D711" s="667" t="s">
        <v>835</v>
      </c>
      <c r="E711" s="661"/>
      <c r="F711" s="662"/>
      <c r="G711" s="681"/>
      <c r="H711" s="681"/>
      <c r="I711" s="656"/>
    </row>
    <row r="712" spans="1:9" s="51" customFormat="1">
      <c r="A712" s="223" t="s">
        <v>2082</v>
      </c>
      <c r="B712" s="433"/>
      <c r="C712" s="1"/>
      <c r="D712" s="209" t="s">
        <v>836</v>
      </c>
      <c r="E712" s="415"/>
      <c r="F712" s="413"/>
      <c r="G712" s="511"/>
      <c r="H712" s="511"/>
      <c r="I712" s="240"/>
    </row>
    <row r="713" spans="1:9" s="51" customFormat="1">
      <c r="A713" s="223" t="s">
        <v>2083</v>
      </c>
      <c r="B713" s="433"/>
      <c r="C713" s="1"/>
      <c r="D713" s="137" t="s">
        <v>837</v>
      </c>
      <c r="E713" s="415"/>
      <c r="F713" s="413"/>
      <c r="G713" s="511"/>
      <c r="H713" s="511"/>
      <c r="I713" s="240"/>
    </row>
    <row r="714" spans="1:9" s="51" customFormat="1">
      <c r="A714" s="223" t="s">
        <v>2084</v>
      </c>
      <c r="B714" s="433"/>
      <c r="C714" s="76"/>
      <c r="D714" s="213" t="s">
        <v>838</v>
      </c>
      <c r="E714" s="415" t="s">
        <v>4</v>
      </c>
      <c r="F714" s="456">
        <f>SUM(F715:F721)</f>
        <v>101.65199999999999</v>
      </c>
      <c r="G714" s="510"/>
      <c r="H714" s="511"/>
      <c r="I714" s="240"/>
    </row>
    <row r="715" spans="1:9" s="51" customFormat="1">
      <c r="A715" s="223" t="s">
        <v>2085</v>
      </c>
      <c r="B715" s="433"/>
      <c r="C715" s="76"/>
      <c r="D715" s="213" t="s">
        <v>839</v>
      </c>
      <c r="E715" s="415"/>
      <c r="F715" s="413">
        <v>27.72</v>
      </c>
      <c r="G715" s="511"/>
      <c r="H715" s="511"/>
      <c r="I715" s="240"/>
    </row>
    <row r="716" spans="1:9" s="51" customFormat="1">
      <c r="A716" s="223" t="s">
        <v>2086</v>
      </c>
      <c r="B716" s="433"/>
      <c r="C716" s="76"/>
      <c r="D716" s="213" t="s">
        <v>840</v>
      </c>
      <c r="E716" s="415"/>
      <c r="F716" s="413">
        <v>18.899999999999999</v>
      </c>
      <c r="G716" s="511"/>
      <c r="H716" s="511"/>
      <c r="I716" s="240"/>
    </row>
    <row r="717" spans="1:9" s="51" customFormat="1">
      <c r="A717" s="223" t="s">
        <v>2087</v>
      </c>
      <c r="B717" s="433"/>
      <c r="C717" s="76"/>
      <c r="D717" s="213" t="s">
        <v>841</v>
      </c>
      <c r="E717" s="415"/>
      <c r="F717" s="413">
        <v>45.3</v>
      </c>
      <c r="G717" s="511"/>
      <c r="H717" s="511"/>
      <c r="I717" s="240"/>
    </row>
    <row r="718" spans="1:9" s="51" customFormat="1">
      <c r="A718" s="223" t="s">
        <v>2088</v>
      </c>
      <c r="B718" s="433"/>
      <c r="C718" s="76"/>
      <c r="D718" s="213" t="s">
        <v>842</v>
      </c>
      <c r="E718" s="415"/>
      <c r="F718" s="413">
        <v>27.9</v>
      </c>
      <c r="G718" s="511"/>
      <c r="H718" s="511"/>
      <c r="I718" s="240"/>
    </row>
    <row r="719" spans="1:9" s="51" customFormat="1">
      <c r="A719" s="223" t="s">
        <v>2089</v>
      </c>
      <c r="B719" s="433"/>
      <c r="C719" s="76"/>
      <c r="D719" s="213" t="s">
        <v>843</v>
      </c>
      <c r="E719" s="415"/>
      <c r="F719" s="413">
        <f>-(2.1*2+3)*1</f>
        <v>-7.2</v>
      </c>
      <c r="G719" s="511"/>
      <c r="H719" s="511"/>
      <c r="I719" s="240"/>
    </row>
    <row r="720" spans="1:9" s="51" customFormat="1">
      <c r="A720" s="223" t="s">
        <v>2090</v>
      </c>
      <c r="B720" s="433"/>
      <c r="C720" s="76"/>
      <c r="D720" s="213" t="s">
        <v>844</v>
      </c>
      <c r="E720" s="415"/>
      <c r="F720" s="413">
        <f>-(0.84*2.2)</f>
        <v>-1.8480000000000001</v>
      </c>
      <c r="G720" s="511"/>
      <c r="H720" s="511"/>
      <c r="I720" s="240"/>
    </row>
    <row r="721" spans="1:9" s="51" customFormat="1">
      <c r="A721" s="223" t="s">
        <v>2091</v>
      </c>
      <c r="B721" s="433"/>
      <c r="C721" s="76"/>
      <c r="D721" s="213" t="s">
        <v>845</v>
      </c>
      <c r="E721" s="415"/>
      <c r="F721" s="413">
        <f>-(0.57*2*8)</f>
        <v>-9.1199999999999992</v>
      </c>
      <c r="G721" s="511"/>
      <c r="H721" s="511"/>
      <c r="I721" s="240"/>
    </row>
    <row r="722" spans="1:9" s="51" customFormat="1" ht="14">
      <c r="A722" s="223" t="s">
        <v>2092</v>
      </c>
      <c r="B722" s="433" t="s">
        <v>508</v>
      </c>
      <c r="C722" s="76" t="s">
        <v>846</v>
      </c>
      <c r="D722" s="213" t="s">
        <v>830</v>
      </c>
      <c r="E722" s="415"/>
      <c r="F722" s="413"/>
      <c r="G722" s="511"/>
      <c r="H722" s="511"/>
      <c r="I722" s="240"/>
    </row>
    <row r="723" spans="1:9" s="51" customFormat="1" ht="15">
      <c r="A723" s="223" t="s">
        <v>2093</v>
      </c>
      <c r="B723" s="433" t="s">
        <v>847</v>
      </c>
      <c r="C723" s="60" t="s">
        <v>2414</v>
      </c>
      <c r="D723" s="138" t="s">
        <v>848</v>
      </c>
      <c r="E723" s="415" t="s">
        <v>4</v>
      </c>
      <c r="F723" s="413">
        <v>101.7</v>
      </c>
      <c r="G723" s="511"/>
      <c r="H723" s="511">
        <f t="shared" ref="H723:H733" si="20">F723*G723</f>
        <v>0</v>
      </c>
      <c r="I723" s="240">
        <f>0.00438*F723</f>
        <v>0.44544600000000001</v>
      </c>
    </row>
    <row r="724" spans="1:9" s="51" customFormat="1" ht="26">
      <c r="A724" s="223" t="s">
        <v>2094</v>
      </c>
      <c r="B724" s="433" t="s">
        <v>849</v>
      </c>
      <c r="C724" s="60" t="s">
        <v>2415</v>
      </c>
      <c r="D724" s="213" t="s">
        <v>850</v>
      </c>
      <c r="E724" s="415" t="s">
        <v>4</v>
      </c>
      <c r="F724" s="413">
        <f>F723*1.2</f>
        <v>122.03999999999999</v>
      </c>
      <c r="G724" s="511"/>
      <c r="H724" s="511">
        <f t="shared" si="20"/>
        <v>0</v>
      </c>
      <c r="I724" s="240">
        <f>0.004*F724</f>
        <v>0.48815999999999998</v>
      </c>
    </row>
    <row r="725" spans="1:9" s="51" customFormat="1" ht="52">
      <c r="A725" s="223" t="s">
        <v>2095</v>
      </c>
      <c r="B725" s="433" t="s">
        <v>851</v>
      </c>
      <c r="C725" s="60" t="s">
        <v>2416</v>
      </c>
      <c r="D725" s="213" t="s">
        <v>852</v>
      </c>
      <c r="E725" s="415" t="s">
        <v>4</v>
      </c>
      <c r="F725" s="413">
        <f>F724</f>
        <v>122.03999999999999</v>
      </c>
      <c r="G725" s="511"/>
      <c r="H725" s="511">
        <f t="shared" si="20"/>
        <v>0</v>
      </c>
      <c r="I725" s="240">
        <f>0.0086*F725</f>
        <v>1.049544</v>
      </c>
    </row>
    <row r="726" spans="1:9" s="51" customFormat="1" ht="26">
      <c r="A726" s="223" t="s">
        <v>2096</v>
      </c>
      <c r="B726" s="433" t="s">
        <v>853</v>
      </c>
      <c r="C726" s="200" t="s">
        <v>2417</v>
      </c>
      <c r="D726" s="213" t="s">
        <v>854</v>
      </c>
      <c r="E726" s="415" t="s">
        <v>4</v>
      </c>
      <c r="F726" s="413">
        <f>F723</f>
        <v>101.7</v>
      </c>
      <c r="G726" s="511"/>
      <c r="H726" s="511">
        <f t="shared" si="20"/>
        <v>0</v>
      </c>
      <c r="I726" s="240">
        <f>0.00008*F726</f>
        <v>8.1360000000000009E-3</v>
      </c>
    </row>
    <row r="727" spans="1:9" s="51" customFormat="1" ht="26">
      <c r="A727" s="223" t="s">
        <v>2097</v>
      </c>
      <c r="B727" s="433" t="s">
        <v>855</v>
      </c>
      <c r="C727" s="200" t="s">
        <v>2418</v>
      </c>
      <c r="D727" s="213" t="s">
        <v>856</v>
      </c>
      <c r="E727" s="415" t="s">
        <v>4</v>
      </c>
      <c r="F727" s="413">
        <f>F723</f>
        <v>101.7</v>
      </c>
      <c r="G727" s="511"/>
      <c r="H727" s="511">
        <f t="shared" si="20"/>
        <v>0</v>
      </c>
      <c r="I727" s="240">
        <v>0</v>
      </c>
    </row>
    <row r="728" spans="1:9" s="51" customFormat="1" ht="52">
      <c r="A728" s="223" t="s">
        <v>2098</v>
      </c>
      <c r="B728" s="433" t="s">
        <v>857</v>
      </c>
      <c r="C728" s="200" t="s">
        <v>2419</v>
      </c>
      <c r="D728" s="213" t="s">
        <v>858</v>
      </c>
      <c r="E728" s="415" t="s">
        <v>2</v>
      </c>
      <c r="F728" s="413">
        <f>(0.7+3+3.05+0.2+0.7)*1.1</f>
        <v>8.4150000000000009</v>
      </c>
      <c r="G728" s="511"/>
      <c r="H728" s="511">
        <f t="shared" si="20"/>
        <v>0</v>
      </c>
      <c r="I728" s="240">
        <f>0.00292*F728</f>
        <v>2.4571800000000001E-2</v>
      </c>
    </row>
    <row r="729" spans="1:9" s="51" customFormat="1" ht="15">
      <c r="A729" s="223" t="s">
        <v>2099</v>
      </c>
      <c r="B729" s="433" t="s">
        <v>859</v>
      </c>
      <c r="C729" s="200" t="s">
        <v>2420</v>
      </c>
      <c r="D729" s="213" t="s">
        <v>860</v>
      </c>
      <c r="E729" s="415" t="s">
        <v>2</v>
      </c>
      <c r="F729" s="413">
        <f>(0.7+3+3.05+0.2+0.7)</f>
        <v>7.65</v>
      </c>
      <c r="G729" s="511"/>
      <c r="H729" s="511">
        <f t="shared" si="20"/>
        <v>0</v>
      </c>
      <c r="I729" s="240">
        <f>0.00003*F729</f>
        <v>2.2950000000000002E-4</v>
      </c>
    </row>
    <row r="730" spans="1:9" s="51" customFormat="1" ht="26">
      <c r="A730" s="223" t="s">
        <v>2100</v>
      </c>
      <c r="B730" s="433" t="s">
        <v>861</v>
      </c>
      <c r="C730" s="77" t="s">
        <v>862</v>
      </c>
      <c r="D730" s="209" t="s">
        <v>2421</v>
      </c>
      <c r="E730" s="415" t="s">
        <v>4</v>
      </c>
      <c r="F730" s="413">
        <f>F727</f>
        <v>101.7</v>
      </c>
      <c r="G730" s="511"/>
      <c r="H730" s="511">
        <f t="shared" si="20"/>
        <v>0</v>
      </c>
      <c r="I730" s="458">
        <f>0.00028*F730</f>
        <v>2.8475999999999998E-2</v>
      </c>
    </row>
    <row r="731" spans="1:9" s="51" customFormat="1" ht="65">
      <c r="A731" s="223" t="s">
        <v>2101</v>
      </c>
      <c r="B731" s="433" t="s">
        <v>945</v>
      </c>
      <c r="C731" s="77" t="s">
        <v>864</v>
      </c>
      <c r="D731" s="213" t="s">
        <v>865</v>
      </c>
      <c r="E731" s="415" t="s">
        <v>4</v>
      </c>
      <c r="F731" s="456">
        <f>F714</f>
        <v>101.65199999999999</v>
      </c>
      <c r="G731" s="511"/>
      <c r="H731" s="511">
        <f t="shared" si="20"/>
        <v>0</v>
      </c>
      <c r="I731" s="240">
        <f>0.00438*F731</f>
        <v>0.44523575999999998</v>
      </c>
    </row>
    <row r="732" spans="1:9" s="461" customFormat="1" ht="14">
      <c r="A732" s="223" t="s">
        <v>2102</v>
      </c>
      <c r="B732" s="433" t="s">
        <v>866</v>
      </c>
      <c r="C732" s="76" t="s">
        <v>2422</v>
      </c>
      <c r="D732" s="314" t="s">
        <v>867</v>
      </c>
      <c r="E732" s="415" t="s">
        <v>4</v>
      </c>
      <c r="F732" s="456">
        <f>F714</f>
        <v>101.65199999999999</v>
      </c>
      <c r="G732" s="511"/>
      <c r="H732" s="511">
        <f t="shared" si="20"/>
        <v>0</v>
      </c>
      <c r="I732" s="240">
        <f>0.00026*F732</f>
        <v>2.6429519999999995E-2</v>
      </c>
    </row>
    <row r="733" spans="1:9" s="51" customFormat="1" ht="26">
      <c r="A733" s="223" t="s">
        <v>2103</v>
      </c>
      <c r="B733" s="433" t="s">
        <v>868</v>
      </c>
      <c r="C733" s="76" t="s">
        <v>2423</v>
      </c>
      <c r="D733" s="213" t="s">
        <v>869</v>
      </c>
      <c r="E733" s="434" t="s">
        <v>4</v>
      </c>
      <c r="F733" s="413">
        <f>F714</f>
        <v>101.65199999999999</v>
      </c>
      <c r="G733" s="511"/>
      <c r="H733" s="511">
        <f t="shared" si="20"/>
        <v>0</v>
      </c>
      <c r="I733" s="240">
        <f>0.0024*F733</f>
        <v>0.24396479999999995</v>
      </c>
    </row>
    <row r="734" spans="1:9" s="51" customFormat="1">
      <c r="A734" s="223" t="s">
        <v>2104</v>
      </c>
      <c r="B734" s="433"/>
      <c r="C734" s="76"/>
      <c r="D734" s="144" t="s">
        <v>870</v>
      </c>
      <c r="E734" s="415"/>
      <c r="F734" s="413"/>
      <c r="G734" s="511"/>
      <c r="H734" s="511"/>
      <c r="I734" s="240"/>
    </row>
    <row r="735" spans="1:9" s="51" customFormat="1" ht="28">
      <c r="A735" s="223" t="s">
        <v>2105</v>
      </c>
      <c r="B735" s="658"/>
      <c r="C735" s="648" t="s">
        <v>871</v>
      </c>
      <c r="D735" s="667" t="s">
        <v>872</v>
      </c>
      <c r="E735" s="661"/>
      <c r="F735" s="662"/>
      <c r="G735" s="681"/>
      <c r="H735" s="681"/>
      <c r="I735" s="656"/>
    </row>
    <row r="736" spans="1:9" s="51" customFormat="1">
      <c r="A736" s="223" t="s">
        <v>2106</v>
      </c>
      <c r="B736" s="433"/>
      <c r="C736" s="1"/>
      <c r="D736" s="213" t="s">
        <v>873</v>
      </c>
      <c r="E736" s="415" t="s">
        <v>4</v>
      </c>
      <c r="F736" s="456">
        <f>SUM(F737:F739)</f>
        <v>24.42</v>
      </c>
      <c r="G736" s="511"/>
      <c r="H736" s="511"/>
      <c r="I736" s="240"/>
    </row>
    <row r="737" spans="1:9" s="51" customFormat="1">
      <c r="A737" s="223" t="s">
        <v>2107</v>
      </c>
      <c r="B737" s="433"/>
      <c r="C737" s="1"/>
      <c r="D737" s="213" t="s">
        <v>874</v>
      </c>
      <c r="E737" s="415"/>
      <c r="F737" s="413">
        <f>1.2*8.3*2</f>
        <v>19.920000000000002</v>
      </c>
      <c r="G737" s="511"/>
      <c r="H737" s="511"/>
      <c r="I737" s="240"/>
    </row>
    <row r="738" spans="1:9" s="51" customFormat="1">
      <c r="A738" s="223" t="s">
        <v>2108</v>
      </c>
      <c r="B738" s="433"/>
      <c r="C738" s="1"/>
      <c r="D738" s="213" t="s">
        <v>875</v>
      </c>
      <c r="E738" s="415"/>
      <c r="F738" s="413">
        <f>1*3</f>
        <v>3</v>
      </c>
      <c r="G738" s="511"/>
      <c r="H738" s="511"/>
      <c r="I738" s="240"/>
    </row>
    <row r="739" spans="1:9" s="51" customFormat="1">
      <c r="A739" s="223" t="s">
        <v>2109</v>
      </c>
      <c r="B739" s="433"/>
      <c r="C739" s="1"/>
      <c r="D739" s="213" t="s">
        <v>876</v>
      </c>
      <c r="E739" s="415"/>
      <c r="F739" s="413">
        <f>0.5*3</f>
        <v>1.5</v>
      </c>
      <c r="G739" s="511"/>
      <c r="H739" s="511"/>
      <c r="I739" s="240"/>
    </row>
    <row r="740" spans="1:9" s="51" customFormat="1" ht="26">
      <c r="A740" s="223" t="s">
        <v>2110</v>
      </c>
      <c r="B740" s="433" t="s">
        <v>445</v>
      </c>
      <c r="C740" s="77" t="s">
        <v>877</v>
      </c>
      <c r="D740" s="213" t="s">
        <v>2424</v>
      </c>
      <c r="E740" s="415"/>
      <c r="F740" s="413"/>
      <c r="G740" s="511"/>
      <c r="H740" s="511"/>
      <c r="I740" s="240">
        <f>0.618*0.05</f>
        <v>3.09E-2</v>
      </c>
    </row>
    <row r="741" spans="1:9" s="51" customFormat="1" ht="22">
      <c r="A741" s="223" t="s">
        <v>2111</v>
      </c>
      <c r="B741" s="433" t="s">
        <v>87</v>
      </c>
      <c r="C741" s="77" t="s">
        <v>2425</v>
      </c>
      <c r="D741" s="461" t="s">
        <v>2426</v>
      </c>
      <c r="E741" s="415" t="s">
        <v>4</v>
      </c>
      <c r="F741" s="413">
        <f>F736</f>
        <v>24.42</v>
      </c>
      <c r="G741" s="511"/>
      <c r="H741" s="511">
        <f>F741*G741</f>
        <v>0</v>
      </c>
      <c r="I741" s="240">
        <f>0.03*F741</f>
        <v>0.73260000000000003</v>
      </c>
    </row>
    <row r="742" spans="1:9" s="51" customFormat="1" ht="52">
      <c r="A742" s="223" t="s">
        <v>2112</v>
      </c>
      <c r="B742" s="433" t="s">
        <v>87</v>
      </c>
      <c r="C742" s="77" t="s">
        <v>2427</v>
      </c>
      <c r="D742" s="213" t="s">
        <v>878</v>
      </c>
      <c r="E742" s="415" t="s">
        <v>4</v>
      </c>
      <c r="F742" s="413">
        <f>F741*1.2</f>
        <v>29.304000000000002</v>
      </c>
      <c r="G742" s="511"/>
      <c r="H742" s="511">
        <f>F742*G742</f>
        <v>0</v>
      </c>
      <c r="I742" s="240">
        <f>0.00175*F742</f>
        <v>5.1282000000000001E-2</v>
      </c>
    </row>
    <row r="743" spans="1:9" s="51" customFormat="1" ht="39">
      <c r="A743" s="223" t="s">
        <v>2113</v>
      </c>
      <c r="B743" s="433" t="s">
        <v>879</v>
      </c>
      <c r="C743" s="77" t="s">
        <v>2428</v>
      </c>
      <c r="D743" s="213" t="s">
        <v>2429</v>
      </c>
      <c r="E743" s="415" t="s">
        <v>4</v>
      </c>
      <c r="F743" s="413">
        <f>F742</f>
        <v>29.304000000000002</v>
      </c>
      <c r="G743" s="511"/>
      <c r="H743" s="511">
        <f>F743*G743</f>
        <v>0</v>
      </c>
      <c r="I743" s="458">
        <f>0.01335*F743</f>
        <v>0.39120840000000007</v>
      </c>
    </row>
    <row r="744" spans="1:9" s="51" customFormat="1" ht="26">
      <c r="A744" s="223" t="s">
        <v>2114</v>
      </c>
      <c r="B744" s="433" t="s">
        <v>855</v>
      </c>
      <c r="C744" s="77" t="s">
        <v>2430</v>
      </c>
      <c r="D744" s="213" t="s">
        <v>880</v>
      </c>
      <c r="E744" s="415" t="s">
        <v>4</v>
      </c>
      <c r="F744" s="413">
        <v>24.4</v>
      </c>
      <c r="G744" s="511"/>
      <c r="H744" s="511">
        <f>F744*G744</f>
        <v>0</v>
      </c>
      <c r="I744" s="240">
        <v>0</v>
      </c>
    </row>
    <row r="745" spans="1:9" s="51" customFormat="1" ht="26">
      <c r="A745" s="223" t="s">
        <v>2115</v>
      </c>
      <c r="B745" s="433" t="s">
        <v>881</v>
      </c>
      <c r="C745" s="77" t="s">
        <v>2431</v>
      </c>
      <c r="D745" s="213" t="s">
        <v>2432</v>
      </c>
      <c r="E745" s="415" t="s">
        <v>4</v>
      </c>
      <c r="F745" s="413">
        <f>F744</f>
        <v>24.4</v>
      </c>
      <c r="G745" s="511"/>
      <c r="H745" s="511">
        <f t="shared" ref="H745:H751" si="21">F745*G745</f>
        <v>0</v>
      </c>
      <c r="I745" s="458">
        <f>0.00008*F745</f>
        <v>1.952E-3</v>
      </c>
    </row>
    <row r="746" spans="1:9" s="51" customFormat="1" ht="26">
      <c r="A746" s="223" t="s">
        <v>2116</v>
      </c>
      <c r="B746" s="433" t="s">
        <v>832</v>
      </c>
      <c r="C746" s="77" t="s">
        <v>2433</v>
      </c>
      <c r="D746" s="213" t="s">
        <v>882</v>
      </c>
      <c r="E746" s="415" t="s">
        <v>4</v>
      </c>
      <c r="F746" s="413">
        <v>24.4</v>
      </c>
      <c r="G746" s="511"/>
      <c r="H746" s="511">
        <f t="shared" si="21"/>
        <v>0</v>
      </c>
      <c r="I746" s="240">
        <v>0</v>
      </c>
    </row>
    <row r="747" spans="1:9" s="51" customFormat="1" ht="26">
      <c r="A747" s="223" t="s">
        <v>2117</v>
      </c>
      <c r="B747" s="433" t="s">
        <v>861</v>
      </c>
      <c r="C747" s="77" t="s">
        <v>2434</v>
      </c>
      <c r="D747" s="209" t="s">
        <v>2421</v>
      </c>
      <c r="E747" s="415" t="s">
        <v>4</v>
      </c>
      <c r="F747" s="413">
        <f>F744</f>
        <v>24.4</v>
      </c>
      <c r="G747" s="511"/>
      <c r="H747" s="511">
        <f t="shared" si="21"/>
        <v>0</v>
      </c>
      <c r="I747" s="458">
        <f>0.00028*F747</f>
        <v>6.8319999999999987E-3</v>
      </c>
    </row>
    <row r="748" spans="1:9" s="51" customFormat="1" ht="65">
      <c r="A748" s="223" t="s">
        <v>2118</v>
      </c>
      <c r="B748" s="433" t="s">
        <v>863</v>
      </c>
      <c r="C748" s="77" t="s">
        <v>2435</v>
      </c>
      <c r="D748" s="213" t="s">
        <v>865</v>
      </c>
      <c r="E748" s="415" t="s">
        <v>4</v>
      </c>
      <c r="F748" s="413">
        <f>F744</f>
        <v>24.4</v>
      </c>
      <c r="G748" s="511"/>
      <c r="H748" s="511">
        <f t="shared" si="21"/>
        <v>0</v>
      </c>
      <c r="I748" s="240">
        <f>0.00438*F748</f>
        <v>0.10687199999999999</v>
      </c>
    </row>
    <row r="749" spans="1:9" s="51" customFormat="1" ht="15">
      <c r="A749" s="223" t="s">
        <v>2119</v>
      </c>
      <c r="B749" s="433" t="s">
        <v>866</v>
      </c>
      <c r="C749" s="76" t="s">
        <v>883</v>
      </c>
      <c r="D749" s="51" t="s">
        <v>2436</v>
      </c>
      <c r="E749" s="415" t="s">
        <v>4</v>
      </c>
      <c r="F749" s="413">
        <f>F744</f>
        <v>24.4</v>
      </c>
      <c r="G749" s="511"/>
      <c r="H749" s="511">
        <f t="shared" si="21"/>
        <v>0</v>
      </c>
      <c r="I749" s="240">
        <v>2.5999999999999998E-4</v>
      </c>
    </row>
    <row r="750" spans="1:9" s="51" customFormat="1" ht="26">
      <c r="A750" s="223" t="s">
        <v>2120</v>
      </c>
      <c r="B750" s="433" t="s">
        <v>868</v>
      </c>
      <c r="C750" s="76" t="s">
        <v>884</v>
      </c>
      <c r="D750" s="213" t="s">
        <v>869</v>
      </c>
      <c r="E750" s="434" t="s">
        <v>4</v>
      </c>
      <c r="F750" s="413">
        <f>F744</f>
        <v>24.4</v>
      </c>
      <c r="G750" s="511"/>
      <c r="H750" s="511">
        <f t="shared" si="21"/>
        <v>0</v>
      </c>
      <c r="I750" s="240">
        <f>0.0024*F750</f>
        <v>5.8559999999999994E-2</v>
      </c>
    </row>
    <row r="751" spans="1:9" s="51" customFormat="1" ht="15">
      <c r="A751" s="223" t="s">
        <v>2121</v>
      </c>
      <c r="B751" s="433" t="s">
        <v>885</v>
      </c>
      <c r="C751" s="77" t="s">
        <v>886</v>
      </c>
      <c r="D751" s="163" t="s">
        <v>887</v>
      </c>
      <c r="E751" s="415" t="s">
        <v>4</v>
      </c>
      <c r="F751" s="413">
        <v>24.4</v>
      </c>
      <c r="G751" s="511"/>
      <c r="H751" s="511">
        <f t="shared" si="21"/>
        <v>0</v>
      </c>
      <c r="I751" s="240">
        <f>0*F751</f>
        <v>0</v>
      </c>
    </row>
    <row r="752" spans="1:9" s="51" customFormat="1" ht="15">
      <c r="A752" s="223" t="s">
        <v>2122</v>
      </c>
      <c r="B752" s="658"/>
      <c r="C752" s="648" t="s">
        <v>888</v>
      </c>
      <c r="D752" s="698" t="s">
        <v>889</v>
      </c>
      <c r="E752" s="661"/>
      <c r="F752" s="662"/>
      <c r="G752" s="681"/>
      <c r="H752" s="681"/>
      <c r="I752" s="656"/>
    </row>
    <row r="753" spans="1:9" s="51" customFormat="1">
      <c r="A753" s="223" t="s">
        <v>2123</v>
      </c>
      <c r="B753" s="433"/>
      <c r="C753" s="1"/>
      <c r="D753" s="213" t="s">
        <v>890</v>
      </c>
      <c r="E753" s="415"/>
      <c r="F753" s="413"/>
      <c r="G753" s="511"/>
      <c r="H753" s="511"/>
      <c r="I753" s="240"/>
    </row>
    <row r="754" spans="1:9" s="51" customFormat="1">
      <c r="A754" s="223" t="s">
        <v>2124</v>
      </c>
      <c r="B754" s="433"/>
      <c r="C754" s="1"/>
      <c r="D754" s="163" t="s">
        <v>891</v>
      </c>
      <c r="E754" s="415" t="s">
        <v>4</v>
      </c>
      <c r="F754" s="213">
        <f>(0.7+1.25)*4.23</f>
        <v>8.2484999999999999</v>
      </c>
      <c r="G754" s="511"/>
      <c r="H754" s="511"/>
      <c r="I754" s="240"/>
    </row>
    <row r="755" spans="1:9" s="51" customFormat="1" ht="26">
      <c r="A755" s="223" t="s">
        <v>2125</v>
      </c>
      <c r="B755" s="433" t="s">
        <v>892</v>
      </c>
      <c r="C755" s="77" t="s">
        <v>893</v>
      </c>
      <c r="D755" s="213" t="s">
        <v>2437</v>
      </c>
      <c r="E755" s="415"/>
      <c r="F755" s="413"/>
      <c r="G755" s="511"/>
      <c r="H755" s="511"/>
      <c r="I755" s="240"/>
    </row>
    <row r="756" spans="1:9" s="51" customFormat="1" ht="39">
      <c r="A756" s="223" t="s">
        <v>2126</v>
      </c>
      <c r="B756" s="433" t="s">
        <v>894</v>
      </c>
      <c r="C756" s="77" t="s">
        <v>895</v>
      </c>
      <c r="D756" s="314" t="s">
        <v>896</v>
      </c>
      <c r="E756" s="415" t="s">
        <v>4</v>
      </c>
      <c r="F756" s="413">
        <f>8.4285*1.2</f>
        <v>10.114199999999999</v>
      </c>
      <c r="G756" s="511"/>
      <c r="H756" s="511">
        <f>F756*G756</f>
        <v>0</v>
      </c>
      <c r="I756" s="240">
        <f>0.021*F756</f>
        <v>0.21239819999999998</v>
      </c>
    </row>
    <row r="757" spans="1:9" s="51" customFormat="1" ht="15">
      <c r="A757" s="223" t="s">
        <v>2127</v>
      </c>
      <c r="B757" s="433" t="s">
        <v>897</v>
      </c>
      <c r="C757" s="77" t="s">
        <v>898</v>
      </c>
      <c r="D757" s="314" t="s">
        <v>899</v>
      </c>
      <c r="E757" s="415" t="s">
        <v>4</v>
      </c>
      <c r="F757" s="413">
        <f>F756</f>
        <v>10.114199999999999</v>
      </c>
      <c r="G757" s="511"/>
      <c r="H757" s="511">
        <f>F757*G757</f>
        <v>0</v>
      </c>
      <c r="I757" s="240">
        <f>0.01143*F757</f>
        <v>0.11560530599999998</v>
      </c>
    </row>
    <row r="758" spans="1:9" s="51" customFormat="1" ht="78">
      <c r="A758" s="223" t="s">
        <v>2128</v>
      </c>
      <c r="B758" s="433" t="s">
        <v>87</v>
      </c>
      <c r="C758" s="77" t="s">
        <v>900</v>
      </c>
      <c r="D758" s="314" t="s">
        <v>901</v>
      </c>
      <c r="E758" s="415" t="s">
        <v>2</v>
      </c>
      <c r="F758" s="413">
        <f>(4.3*2+0.7*2+0.5*8)+(4.3*4+1.25*2+1.05*8)</f>
        <v>42.1</v>
      </c>
      <c r="G758" s="511"/>
      <c r="H758" s="511">
        <f>F758*G758</f>
        <v>0</v>
      </c>
      <c r="I758" s="240">
        <f>0.0047*F758</f>
        <v>0.19787000000000002</v>
      </c>
    </row>
    <row r="759" spans="1:9" s="51" customFormat="1" ht="26">
      <c r="A759" s="223" t="s">
        <v>2129</v>
      </c>
      <c r="B759" s="433" t="s">
        <v>87</v>
      </c>
      <c r="C759" s="77" t="s">
        <v>902</v>
      </c>
      <c r="D759" s="213" t="s">
        <v>903</v>
      </c>
      <c r="E759" s="415" t="s">
        <v>4</v>
      </c>
      <c r="F759" s="413">
        <f>1.25*2*4.3*1.15</f>
        <v>12.362499999999999</v>
      </c>
      <c r="G759" s="511"/>
      <c r="H759" s="511">
        <f>F759*G759</f>
        <v>0</v>
      </c>
      <c r="I759" s="240">
        <f>0.0012*F759</f>
        <v>1.4834999999999997E-2</v>
      </c>
    </row>
    <row r="760" spans="1:9" s="51" customFormat="1">
      <c r="A760" s="223" t="s">
        <v>2130</v>
      </c>
      <c r="B760" s="433"/>
      <c r="C760" s="77"/>
      <c r="D760" s="213" t="s">
        <v>904</v>
      </c>
      <c r="E760" s="415"/>
      <c r="F760" s="413"/>
      <c r="G760" s="511"/>
      <c r="H760" s="511"/>
      <c r="I760" s="240"/>
    </row>
    <row r="761" spans="1:9" s="51" customFormat="1" ht="39">
      <c r="A761" s="223" t="s">
        <v>2131</v>
      </c>
      <c r="B761" s="433" t="s">
        <v>87</v>
      </c>
      <c r="C761" s="77" t="s">
        <v>905</v>
      </c>
      <c r="D761" s="213" t="s">
        <v>906</v>
      </c>
      <c r="E761" s="415" t="s">
        <v>4</v>
      </c>
      <c r="F761" s="413">
        <f>1.25*2*4.3</f>
        <v>10.75</v>
      </c>
      <c r="G761" s="511"/>
      <c r="H761" s="511">
        <f>F761*G761</f>
        <v>0</v>
      </c>
      <c r="I761" s="240">
        <f>0.0047*F761</f>
        <v>5.0525E-2</v>
      </c>
    </row>
    <row r="762" spans="1:9" s="51" customFormat="1" ht="26">
      <c r="A762" s="223" t="s">
        <v>2132</v>
      </c>
      <c r="B762" s="433" t="s">
        <v>87</v>
      </c>
      <c r="C762" s="77" t="s">
        <v>907</v>
      </c>
      <c r="D762" s="213" t="s">
        <v>908</v>
      </c>
      <c r="E762" s="415" t="s">
        <v>4</v>
      </c>
      <c r="F762" s="413">
        <f>1.05*2*4.3</f>
        <v>9.0299999999999994</v>
      </c>
      <c r="G762" s="511"/>
      <c r="H762" s="511">
        <f>F762*G762</f>
        <v>0</v>
      </c>
      <c r="I762" s="240">
        <f>0.00346*F762</f>
        <v>3.1243799999999999E-2</v>
      </c>
    </row>
    <row r="763" spans="1:9" s="51" customFormat="1" ht="52">
      <c r="A763" s="223" t="s">
        <v>2133</v>
      </c>
      <c r="B763" s="433" t="s">
        <v>87</v>
      </c>
      <c r="C763" s="77" t="s">
        <v>2438</v>
      </c>
      <c r="D763" s="138" t="s">
        <v>909</v>
      </c>
      <c r="E763" s="415" t="s">
        <v>4</v>
      </c>
      <c r="F763" s="413">
        <f>1.05*2*4.3</f>
        <v>9.0299999999999994</v>
      </c>
      <c r="G763" s="511"/>
      <c r="H763" s="511">
        <f>F763*G763</f>
        <v>0</v>
      </c>
      <c r="I763" s="240">
        <f>0.00189*F763</f>
        <v>1.7066699999999997E-2</v>
      </c>
    </row>
    <row r="764" spans="1:9" s="51" customFormat="1" ht="28">
      <c r="A764" s="223" t="s">
        <v>2134</v>
      </c>
      <c r="B764" s="658"/>
      <c r="C764" s="648" t="s">
        <v>910</v>
      </c>
      <c r="D764" s="667" t="s">
        <v>911</v>
      </c>
      <c r="E764" s="661"/>
      <c r="F764" s="662"/>
      <c r="G764" s="681"/>
      <c r="H764" s="681"/>
      <c r="I764" s="656"/>
    </row>
    <row r="765" spans="1:9" s="51" customFormat="1" ht="14">
      <c r="A765" s="223" t="s">
        <v>2135</v>
      </c>
      <c r="B765" s="433"/>
      <c r="C765" s="78"/>
      <c r="D765" s="138" t="s">
        <v>912</v>
      </c>
      <c r="E765" s="415"/>
      <c r="F765" s="413"/>
      <c r="G765" s="511"/>
      <c r="H765" s="511"/>
      <c r="I765" s="240"/>
    </row>
    <row r="766" spans="1:9" s="51" customFormat="1" ht="14">
      <c r="A766" s="223" t="s">
        <v>2136</v>
      </c>
      <c r="B766" s="433"/>
      <c r="C766" s="78"/>
      <c r="D766" s="137" t="s">
        <v>2439</v>
      </c>
      <c r="E766" s="415" t="s">
        <v>4</v>
      </c>
      <c r="F766" s="456">
        <f>SUM(F767:F768)</f>
        <v>86.384</v>
      </c>
      <c r="G766" s="511"/>
      <c r="H766" s="511"/>
      <c r="I766" s="240"/>
    </row>
    <row r="767" spans="1:9" s="51" customFormat="1" ht="26">
      <c r="A767" s="223" t="s">
        <v>2137</v>
      </c>
      <c r="B767" s="433"/>
      <c r="C767" s="462"/>
      <c r="D767" s="138" t="s">
        <v>913</v>
      </c>
      <c r="E767" s="415"/>
      <c r="F767" s="213">
        <f>15*3.5+(0.75*2.3+0.75*0.8*2)</f>
        <v>55.424999999999997</v>
      </c>
      <c r="G767" s="511"/>
      <c r="H767" s="511"/>
      <c r="I767" s="240"/>
    </row>
    <row r="768" spans="1:9" s="51" customFormat="1" ht="14">
      <c r="A768" s="223" t="s">
        <v>2138</v>
      </c>
      <c r="B768" s="433"/>
      <c r="C768" s="462"/>
      <c r="D768" s="137" t="s">
        <v>914</v>
      </c>
      <c r="E768" s="415"/>
      <c r="F768" s="412">
        <f>3.25+1.9*7.11+14.2</f>
        <v>30.959</v>
      </c>
      <c r="G768" s="511"/>
      <c r="H768" s="511"/>
      <c r="I768" s="240"/>
    </row>
    <row r="769" spans="1:10" s="51" customFormat="1">
      <c r="A769" s="223" t="s">
        <v>2139</v>
      </c>
      <c r="B769" s="433" t="s">
        <v>445</v>
      </c>
      <c r="C769" s="76"/>
      <c r="D769" s="51" t="s">
        <v>2440</v>
      </c>
      <c r="E769" s="415"/>
      <c r="F769" s="413"/>
      <c r="G769" s="511"/>
      <c r="H769" s="511"/>
      <c r="I769" s="240"/>
    </row>
    <row r="770" spans="1:10" s="51" customFormat="1" ht="26">
      <c r="A770" s="223" t="s">
        <v>2140</v>
      </c>
      <c r="B770" s="433" t="s">
        <v>87</v>
      </c>
      <c r="C770" s="76" t="s">
        <v>2441</v>
      </c>
      <c r="D770" s="213" t="s">
        <v>915</v>
      </c>
      <c r="E770" s="415" t="s">
        <v>4</v>
      </c>
      <c r="F770" s="413">
        <f>F766</f>
        <v>86.384</v>
      </c>
      <c r="G770" s="511"/>
      <c r="H770" s="511">
        <f t="shared" ref="H770:H776" si="22">F770*G770</f>
        <v>0</v>
      </c>
      <c r="I770" s="240">
        <f>0.00155*F770</f>
        <v>0.13389519999999999</v>
      </c>
    </row>
    <row r="771" spans="1:10" s="51" customFormat="1" ht="39">
      <c r="A771" s="223" t="s">
        <v>2141</v>
      </c>
      <c r="B771" s="433" t="s">
        <v>847</v>
      </c>
      <c r="C771" s="76" t="s">
        <v>2442</v>
      </c>
      <c r="D771" s="213" t="s">
        <v>2443</v>
      </c>
      <c r="E771" s="415" t="s">
        <v>4</v>
      </c>
      <c r="F771" s="413">
        <f>F770*1.2</f>
        <v>103.66079999999999</v>
      </c>
      <c r="G771" s="511"/>
      <c r="H771" s="511">
        <f t="shared" si="22"/>
        <v>0</v>
      </c>
      <c r="I771" s="240">
        <f>0.00454*F771</f>
        <v>0.47062003199999997</v>
      </c>
    </row>
    <row r="772" spans="1:10" s="51" customFormat="1" ht="39">
      <c r="A772" s="223" t="s">
        <v>2142</v>
      </c>
      <c r="B772" s="433" t="s">
        <v>847</v>
      </c>
      <c r="C772" s="76" t="s">
        <v>2444</v>
      </c>
      <c r="D772" s="213" t="s">
        <v>2445</v>
      </c>
      <c r="E772" s="415" t="s">
        <v>4</v>
      </c>
      <c r="F772" s="413">
        <f>F771</f>
        <v>103.66079999999999</v>
      </c>
      <c r="G772" s="511"/>
      <c r="H772" s="511">
        <f t="shared" si="22"/>
        <v>0</v>
      </c>
      <c r="I772" s="240">
        <f>0.00454*F772</f>
        <v>0.47062003199999997</v>
      </c>
    </row>
    <row r="773" spans="1:10" s="51" customFormat="1" ht="26">
      <c r="A773" s="223" t="s">
        <v>2143</v>
      </c>
      <c r="B773" s="433" t="s">
        <v>453</v>
      </c>
      <c r="C773" s="76" t="s">
        <v>2446</v>
      </c>
      <c r="D773" s="137" t="s">
        <v>2447</v>
      </c>
      <c r="E773" s="415" t="s">
        <v>4</v>
      </c>
      <c r="F773" s="413">
        <f>F770*2</f>
        <v>172.768</v>
      </c>
      <c r="G773" s="511"/>
      <c r="H773" s="511">
        <f t="shared" si="22"/>
        <v>0</v>
      </c>
      <c r="I773" s="240">
        <f>0.0004*F773</f>
        <v>6.9107200000000008E-2</v>
      </c>
    </row>
    <row r="774" spans="1:10" s="51" customFormat="1" ht="39">
      <c r="A774" s="223" t="s">
        <v>2144</v>
      </c>
      <c r="B774" s="433" t="s">
        <v>847</v>
      </c>
      <c r="C774" s="76" t="s">
        <v>2448</v>
      </c>
      <c r="D774" s="213" t="s">
        <v>2449</v>
      </c>
      <c r="E774" s="415" t="s">
        <v>4</v>
      </c>
      <c r="F774" s="413">
        <f>F771</f>
        <v>103.66079999999999</v>
      </c>
      <c r="G774" s="511"/>
      <c r="H774" s="511">
        <f t="shared" si="22"/>
        <v>0</v>
      </c>
      <c r="I774" s="240">
        <f>0.0012*F774</f>
        <v>0.12439295999999998</v>
      </c>
    </row>
    <row r="775" spans="1:10" s="51" customFormat="1" ht="26">
      <c r="A775" s="223" t="s">
        <v>2145</v>
      </c>
      <c r="B775" s="433" t="s">
        <v>916</v>
      </c>
      <c r="C775" s="76" t="s">
        <v>2450</v>
      </c>
      <c r="D775" s="137" t="s">
        <v>2451</v>
      </c>
      <c r="E775" s="415" t="s">
        <v>4</v>
      </c>
      <c r="F775" s="413">
        <f>F774</f>
        <v>103.66079999999999</v>
      </c>
      <c r="G775" s="511"/>
      <c r="H775" s="511">
        <f t="shared" si="22"/>
        <v>0</v>
      </c>
      <c r="I775" s="240">
        <f>0.00852*F775</f>
        <v>0.88319001599999991</v>
      </c>
    </row>
    <row r="776" spans="1:10" s="51" customFormat="1" ht="26">
      <c r="A776" s="223" t="s">
        <v>2146</v>
      </c>
      <c r="B776" s="433" t="s">
        <v>917</v>
      </c>
      <c r="C776" s="76" t="s">
        <v>918</v>
      </c>
      <c r="D776" s="314" t="s">
        <v>919</v>
      </c>
      <c r="E776" s="415" t="s">
        <v>4</v>
      </c>
      <c r="F776" s="413">
        <f>F766*1.1</f>
        <v>95.022400000000005</v>
      </c>
      <c r="G776" s="511"/>
      <c r="H776" s="511">
        <f t="shared" si="22"/>
        <v>0</v>
      </c>
      <c r="I776" s="240">
        <f>0.0004*F776</f>
        <v>3.8008960000000001E-2</v>
      </c>
      <c r="J776" s="461"/>
    </row>
    <row r="777" spans="1:10" s="51" customFormat="1">
      <c r="A777" s="223" t="s">
        <v>2147</v>
      </c>
      <c r="B777" s="433"/>
      <c r="C777" s="76"/>
      <c r="D777" s="500" t="s">
        <v>920</v>
      </c>
      <c r="E777" s="415"/>
      <c r="F777" s="413"/>
      <c r="G777" s="511"/>
      <c r="H777" s="511"/>
      <c r="I777" s="240"/>
      <c r="J777" s="461"/>
    </row>
    <row r="778" spans="1:10" s="51" customFormat="1" ht="26">
      <c r="A778" s="223" t="s">
        <v>2148</v>
      </c>
      <c r="B778" s="433" t="s">
        <v>847</v>
      </c>
      <c r="C778" s="76"/>
      <c r="D778" s="213" t="s">
        <v>833</v>
      </c>
      <c r="E778" s="415" t="s">
        <v>4</v>
      </c>
      <c r="F778" s="413">
        <f>1.3*2.2+1.3*3.5*2</f>
        <v>11.96</v>
      </c>
      <c r="G778" s="511"/>
      <c r="H778" s="511">
        <f>F778*G778</f>
        <v>0</v>
      </c>
      <c r="I778" s="240">
        <v>0</v>
      </c>
      <c r="J778" s="461"/>
    </row>
    <row r="779" spans="1:10" s="51" customFormat="1" ht="28">
      <c r="A779" s="223" t="s">
        <v>2149</v>
      </c>
      <c r="B779" s="658"/>
      <c r="C779" s="648" t="s">
        <v>921</v>
      </c>
      <c r="D779" s="698" t="s">
        <v>922</v>
      </c>
      <c r="E779" s="661"/>
      <c r="F779" s="662"/>
      <c r="G779" s="681"/>
      <c r="H779" s="681"/>
      <c r="I779" s="656"/>
    </row>
    <row r="780" spans="1:10" s="51" customFormat="1" ht="14">
      <c r="A780" s="223" t="s">
        <v>2150</v>
      </c>
      <c r="B780" s="433"/>
      <c r="C780" s="78"/>
      <c r="D780" s="138" t="s">
        <v>912</v>
      </c>
      <c r="E780" s="415"/>
      <c r="F780" s="413"/>
      <c r="G780" s="511"/>
      <c r="H780" s="511"/>
      <c r="I780" s="240"/>
    </row>
    <row r="781" spans="1:10" s="51" customFormat="1" ht="14">
      <c r="A781" s="223" t="s">
        <v>2151</v>
      </c>
      <c r="B781" s="433"/>
      <c r="C781" s="78"/>
      <c r="D781" s="137" t="s">
        <v>2439</v>
      </c>
      <c r="E781" s="415"/>
      <c r="F781" s="413"/>
      <c r="G781" s="511"/>
      <c r="H781" s="511"/>
      <c r="I781" s="240"/>
    </row>
    <row r="782" spans="1:10" s="51" customFormat="1" ht="26">
      <c r="A782" s="223" t="s">
        <v>2152</v>
      </c>
      <c r="B782" s="433"/>
      <c r="C782" s="78"/>
      <c r="D782" s="138" t="s">
        <v>923</v>
      </c>
      <c r="E782" s="415" t="s">
        <v>4</v>
      </c>
      <c r="F782" s="456">
        <f>0.7*2.25+3*2.4+3*3.05+0.7*3.55</f>
        <v>20.409999999999997</v>
      </c>
      <c r="G782" s="511"/>
      <c r="H782" s="511"/>
      <c r="I782" s="240"/>
    </row>
    <row r="783" spans="1:10" s="51" customFormat="1">
      <c r="A783" s="223" t="s">
        <v>2153</v>
      </c>
      <c r="B783" s="433" t="s">
        <v>445</v>
      </c>
      <c r="C783" s="76"/>
      <c r="D783" s="51" t="s">
        <v>2452</v>
      </c>
      <c r="E783" s="415"/>
      <c r="F783" s="413"/>
      <c r="G783" s="511"/>
      <c r="H783" s="511"/>
      <c r="I783" s="240"/>
    </row>
    <row r="784" spans="1:10" s="51" customFormat="1" ht="22">
      <c r="A784" s="223" t="s">
        <v>2154</v>
      </c>
      <c r="B784" s="433" t="s">
        <v>87</v>
      </c>
      <c r="C784" s="77" t="s">
        <v>2453</v>
      </c>
      <c r="D784" s="213" t="s">
        <v>2454</v>
      </c>
      <c r="E784" s="415" t="s">
        <v>4</v>
      </c>
      <c r="F784" s="413">
        <f>F782</f>
        <v>20.409999999999997</v>
      </c>
      <c r="G784" s="511"/>
      <c r="H784" s="511">
        <f t="shared" ref="H784:H788" si="23">F784*G784</f>
        <v>0</v>
      </c>
      <c r="I784" s="240">
        <f>0.00155*F784</f>
        <v>3.1635499999999997E-2</v>
      </c>
    </row>
    <row r="785" spans="1:9" s="51" customFormat="1">
      <c r="A785" s="223" t="s">
        <v>2155</v>
      </c>
      <c r="B785" s="433"/>
      <c r="C785" s="77"/>
      <c r="D785" s="213" t="s">
        <v>924</v>
      </c>
      <c r="E785" s="415"/>
      <c r="F785" s="413"/>
      <c r="G785" s="511"/>
      <c r="H785" s="511"/>
      <c r="I785" s="240"/>
    </row>
    <row r="786" spans="1:9" s="51" customFormat="1" ht="39">
      <c r="A786" s="223" t="s">
        <v>2156</v>
      </c>
      <c r="B786" s="433" t="s">
        <v>847</v>
      </c>
      <c r="C786" s="77" t="s">
        <v>2455</v>
      </c>
      <c r="D786" s="213" t="s">
        <v>2456</v>
      </c>
      <c r="E786" s="415" t="s">
        <v>4</v>
      </c>
      <c r="F786" s="413">
        <f>F782*1.2</f>
        <v>24.491999999999994</v>
      </c>
      <c r="G786" s="511"/>
      <c r="H786" s="511">
        <f t="shared" si="23"/>
        <v>0</v>
      </c>
      <c r="I786" s="240">
        <f>0.00454*F786</f>
        <v>0.11119367999999996</v>
      </c>
    </row>
    <row r="787" spans="1:9" s="51" customFormat="1" ht="39">
      <c r="A787" s="223" t="s">
        <v>2157</v>
      </c>
      <c r="B787" s="433" t="s">
        <v>847</v>
      </c>
      <c r="C787" s="77" t="s">
        <v>2457</v>
      </c>
      <c r="D787" s="213" t="s">
        <v>2458</v>
      </c>
      <c r="E787" s="415" t="s">
        <v>4</v>
      </c>
      <c r="F787" s="413">
        <f>F782*1.2</f>
        <v>24.491999999999994</v>
      </c>
      <c r="G787" s="511"/>
      <c r="H787" s="511">
        <f t="shared" si="23"/>
        <v>0</v>
      </c>
      <c r="I787" s="240">
        <f>0.00454*F787</f>
        <v>0.11119367999999996</v>
      </c>
    </row>
    <row r="788" spans="1:9" s="51" customFormat="1" ht="39">
      <c r="A788" s="223" t="s">
        <v>2158</v>
      </c>
      <c r="B788" s="433" t="s">
        <v>453</v>
      </c>
      <c r="C788" s="77" t="s">
        <v>2459</v>
      </c>
      <c r="D788" s="137" t="s">
        <v>2460</v>
      </c>
      <c r="E788" s="415" t="s">
        <v>4</v>
      </c>
      <c r="F788" s="413">
        <f>F787*2</f>
        <v>48.983999999999988</v>
      </c>
      <c r="G788" s="511"/>
      <c r="H788" s="511">
        <f t="shared" si="23"/>
        <v>0</v>
      </c>
      <c r="I788" s="240">
        <f>0.001*F788</f>
        <v>4.8983999999999986E-2</v>
      </c>
    </row>
    <row r="789" spans="1:9" s="51" customFormat="1" ht="26">
      <c r="A789" s="223" t="s">
        <v>2159</v>
      </c>
      <c r="B789" s="433" t="s">
        <v>847</v>
      </c>
      <c r="C789" s="77" t="s">
        <v>2461</v>
      </c>
      <c r="D789" s="213" t="s">
        <v>2462</v>
      </c>
      <c r="E789" s="415" t="s">
        <v>4</v>
      </c>
      <c r="F789" s="413">
        <f>F782*1.2</f>
        <v>24.491999999999994</v>
      </c>
      <c r="G789" s="511"/>
      <c r="H789" s="511">
        <f>F789*G789</f>
        <v>0</v>
      </c>
      <c r="I789" s="240">
        <f>0.0012*F789</f>
        <v>2.939039999999999E-2</v>
      </c>
    </row>
    <row r="790" spans="1:9" s="51" customFormat="1" ht="26">
      <c r="A790" s="223" t="s">
        <v>2160</v>
      </c>
      <c r="B790" s="433" t="s">
        <v>925</v>
      </c>
      <c r="C790" s="77" t="s">
        <v>2463</v>
      </c>
      <c r="D790" s="137" t="s">
        <v>2464</v>
      </c>
      <c r="E790" s="415" t="s">
        <v>4</v>
      </c>
      <c r="F790" s="413">
        <f>F789</f>
        <v>24.491999999999994</v>
      </c>
      <c r="G790" s="511"/>
      <c r="H790" s="511">
        <f>F790*G790</f>
        <v>0</v>
      </c>
      <c r="I790" s="240">
        <f>0.00875*F790</f>
        <v>0.21430499999999997</v>
      </c>
    </row>
    <row r="791" spans="1:9" s="51" customFormat="1" ht="26">
      <c r="A791" s="223" t="s">
        <v>2161</v>
      </c>
      <c r="B791" s="433" t="s">
        <v>917</v>
      </c>
      <c r="C791" s="77" t="s">
        <v>2465</v>
      </c>
      <c r="D791" s="314" t="s">
        <v>926</v>
      </c>
      <c r="E791" s="415" t="s">
        <v>4</v>
      </c>
      <c r="F791" s="413">
        <f>F782*1.1</f>
        <v>22.450999999999997</v>
      </c>
      <c r="G791" s="511"/>
      <c r="H791" s="511">
        <f>F791*G791</f>
        <v>0</v>
      </c>
      <c r="I791" s="240">
        <f>0.0004*F791</f>
        <v>8.9803999999999995E-3</v>
      </c>
    </row>
    <row r="792" spans="1:9" s="51" customFormat="1" ht="42">
      <c r="A792" s="223" t="s">
        <v>2162</v>
      </c>
      <c r="B792" s="658"/>
      <c r="C792" s="659"/>
      <c r="D792" s="660" t="s">
        <v>927</v>
      </c>
      <c r="E792" s="661"/>
      <c r="F792" s="662"/>
      <c r="G792" s="681"/>
      <c r="H792" s="681"/>
      <c r="I792" s="656"/>
    </row>
    <row r="793" spans="1:9" s="51" customFormat="1" ht="26">
      <c r="A793" s="223" t="s">
        <v>2163</v>
      </c>
      <c r="B793" s="433"/>
      <c r="C793" s="76"/>
      <c r="D793" s="138" t="s">
        <v>935</v>
      </c>
      <c r="E793" s="415"/>
      <c r="F793" s="413"/>
      <c r="G793" s="511"/>
      <c r="H793" s="511"/>
      <c r="I793" s="240"/>
    </row>
    <row r="794" spans="1:9" s="51" customFormat="1" ht="26">
      <c r="A794" s="223" t="s">
        <v>2164</v>
      </c>
      <c r="B794" s="433"/>
      <c r="C794" s="76"/>
      <c r="D794" s="137" t="s">
        <v>2466</v>
      </c>
      <c r="E794" s="436"/>
      <c r="F794" s="456"/>
      <c r="G794" s="511"/>
      <c r="H794" s="511"/>
      <c r="I794" s="240"/>
    </row>
    <row r="795" spans="1:9" s="51" customFormat="1" ht="39">
      <c r="A795" s="223" t="s">
        <v>2165</v>
      </c>
      <c r="B795" s="433" t="s">
        <v>933</v>
      </c>
      <c r="C795" s="76"/>
      <c r="D795" s="213" t="s">
        <v>932</v>
      </c>
      <c r="E795" s="415" t="s">
        <v>4</v>
      </c>
      <c r="F795" s="413">
        <v>2.2999999999999998</v>
      </c>
      <c r="G795" s="511"/>
      <c r="H795" s="511">
        <f t="shared" ref="H795:H800" si="24">F795*G795</f>
        <v>0</v>
      </c>
      <c r="I795" s="240">
        <f>0.00438*F795</f>
        <v>1.0074E-2</v>
      </c>
    </row>
    <row r="796" spans="1:9" s="461" customFormat="1">
      <c r="A796" s="223" t="s">
        <v>2166</v>
      </c>
      <c r="B796" s="433" t="s">
        <v>934</v>
      </c>
      <c r="C796" s="76"/>
      <c r="D796" s="314" t="s">
        <v>2467</v>
      </c>
      <c r="E796" s="415" t="s">
        <v>4</v>
      </c>
      <c r="F796" s="413">
        <v>2.2999999999999998</v>
      </c>
      <c r="G796" s="511"/>
      <c r="H796" s="511">
        <f t="shared" si="24"/>
        <v>0</v>
      </c>
      <c r="I796" s="240">
        <f>0.00026*F796</f>
        <v>5.979999999999999E-4</v>
      </c>
    </row>
    <row r="797" spans="1:9" s="51" customFormat="1" ht="26">
      <c r="A797" s="223" t="s">
        <v>2167</v>
      </c>
      <c r="B797" s="433" t="s">
        <v>87</v>
      </c>
      <c r="C797" s="76"/>
      <c r="D797" s="213" t="s">
        <v>2468</v>
      </c>
      <c r="E797" s="415" t="s">
        <v>4</v>
      </c>
      <c r="F797" s="413">
        <v>2.2999999999999998</v>
      </c>
      <c r="G797" s="511"/>
      <c r="H797" s="511">
        <f t="shared" si="24"/>
        <v>0</v>
      </c>
      <c r="I797" s="240">
        <f>0.00247*F797</f>
        <v>5.6809999999999994E-3</v>
      </c>
    </row>
    <row r="798" spans="1:9" s="51" customFormat="1" ht="22">
      <c r="A798" s="223" t="s">
        <v>2168</v>
      </c>
      <c r="B798" s="433" t="s">
        <v>87</v>
      </c>
      <c r="C798" s="76"/>
      <c r="D798" s="137" t="s">
        <v>2469</v>
      </c>
      <c r="E798" s="415" t="s">
        <v>2</v>
      </c>
      <c r="F798" s="413">
        <v>37</v>
      </c>
      <c r="G798" s="511"/>
      <c r="H798" s="511">
        <f t="shared" si="24"/>
        <v>0</v>
      </c>
      <c r="I798" s="240">
        <f>0.003*F798</f>
        <v>0.111</v>
      </c>
    </row>
    <row r="799" spans="1:9" s="51" customFormat="1" ht="22">
      <c r="A799" s="223" t="s">
        <v>2169</v>
      </c>
      <c r="B799" s="433" t="s">
        <v>87</v>
      </c>
      <c r="C799" s="76"/>
      <c r="D799" s="137" t="s">
        <v>936</v>
      </c>
      <c r="E799" s="415" t="s">
        <v>2</v>
      </c>
      <c r="F799" s="413">
        <f>1.2*3</f>
        <v>3.5999999999999996</v>
      </c>
      <c r="G799" s="511"/>
      <c r="H799" s="511">
        <f t="shared" si="24"/>
        <v>0</v>
      </c>
      <c r="I799" s="240">
        <f>0.003*F799</f>
        <v>1.0799999999999999E-2</v>
      </c>
    </row>
    <row r="800" spans="1:9" s="51" customFormat="1" ht="22">
      <c r="A800" s="223" t="s">
        <v>2170</v>
      </c>
      <c r="B800" s="433" t="s">
        <v>87</v>
      </c>
      <c r="C800" s="77"/>
      <c r="D800" s="503" t="s">
        <v>2470</v>
      </c>
      <c r="E800" s="165" t="s">
        <v>2</v>
      </c>
      <c r="F800" s="413">
        <f>15.2+13.96+15.25+8.1</f>
        <v>52.51</v>
      </c>
      <c r="G800" s="511"/>
      <c r="H800" s="510">
        <f t="shared" si="24"/>
        <v>0</v>
      </c>
      <c r="I800" s="240">
        <f>0.00012*F800</f>
        <v>6.3011999999999999E-3</v>
      </c>
    </row>
    <row r="801" spans="1:9">
      <c r="A801" s="223" t="s">
        <v>2171</v>
      </c>
      <c r="B801" s="641"/>
      <c r="C801" s="642"/>
      <c r="D801" s="657" t="s">
        <v>398</v>
      </c>
      <c r="E801" s="644" t="s">
        <v>48</v>
      </c>
      <c r="F801" s="645" t="s">
        <v>60</v>
      </c>
      <c r="G801" s="714"/>
      <c r="H801" s="714">
        <f>SUM(H802:H825)</f>
        <v>0</v>
      </c>
      <c r="I801" s="656">
        <f>SUM(I802:I818)</f>
        <v>0.10112</v>
      </c>
    </row>
    <row r="802" spans="1:9">
      <c r="A802" s="223" t="s">
        <v>2172</v>
      </c>
      <c r="B802" s="475">
        <v>952901114</v>
      </c>
      <c r="D802" s="51" t="s">
        <v>2471</v>
      </c>
      <c r="E802" s="51" t="s">
        <v>4</v>
      </c>
      <c r="F802" s="51">
        <f>78*4</f>
        <v>312</v>
      </c>
      <c r="G802" s="510"/>
      <c r="H802" s="510">
        <f t="shared" ref="H802:H820" si="25">F802*G802</f>
        <v>0</v>
      </c>
      <c r="I802" s="240">
        <f>0.00004*F802</f>
        <v>1.2480000000000002E-2</v>
      </c>
    </row>
    <row r="803" spans="1:9" ht="22">
      <c r="A803" s="223" t="s">
        <v>2173</v>
      </c>
      <c r="B803" s="433" t="s">
        <v>157</v>
      </c>
      <c r="C803" s="468"/>
      <c r="D803" s="488" t="s">
        <v>2472</v>
      </c>
      <c r="E803" s="51" t="s">
        <v>7</v>
      </c>
      <c r="F803" s="484">
        <v>2</v>
      </c>
      <c r="G803" s="510"/>
      <c r="H803" s="510">
        <f t="shared" si="25"/>
        <v>0</v>
      </c>
      <c r="I803" s="240">
        <f>0.008*F803</f>
        <v>1.6E-2</v>
      </c>
    </row>
    <row r="804" spans="1:9" ht="22">
      <c r="A804" s="223" t="s">
        <v>2174</v>
      </c>
      <c r="B804" s="433" t="s">
        <v>157</v>
      </c>
      <c r="C804" s="468"/>
      <c r="D804" s="480" t="s">
        <v>2473</v>
      </c>
      <c r="E804" s="51" t="s">
        <v>7</v>
      </c>
      <c r="F804" s="484">
        <v>2</v>
      </c>
      <c r="G804" s="510"/>
      <c r="H804" s="510">
        <f t="shared" si="25"/>
        <v>0</v>
      </c>
      <c r="I804" s="240">
        <f>0.0001*F804</f>
        <v>2.0000000000000001E-4</v>
      </c>
    </row>
    <row r="805" spans="1:9" ht="60">
      <c r="A805" s="223" t="s">
        <v>2175</v>
      </c>
      <c r="B805" s="433" t="s">
        <v>157</v>
      </c>
      <c r="C805" s="468"/>
      <c r="D805" s="505" t="s">
        <v>2474</v>
      </c>
      <c r="E805" s="51" t="s">
        <v>7</v>
      </c>
      <c r="F805" s="484">
        <v>14</v>
      </c>
      <c r="G805" s="510"/>
      <c r="H805" s="510">
        <f t="shared" si="25"/>
        <v>0</v>
      </c>
      <c r="I805" s="240">
        <f>0.0001*F805</f>
        <v>1.4E-3</v>
      </c>
    </row>
    <row r="806" spans="1:9" ht="30">
      <c r="A806" s="223" t="s">
        <v>2176</v>
      </c>
      <c r="B806" s="433" t="s">
        <v>157</v>
      </c>
      <c r="C806" s="468"/>
      <c r="D806" s="480" t="s">
        <v>2475</v>
      </c>
      <c r="E806" s="51" t="s">
        <v>7</v>
      </c>
      <c r="F806" s="484">
        <v>3</v>
      </c>
      <c r="G806" s="510"/>
      <c r="H806" s="510">
        <f t="shared" si="25"/>
        <v>0</v>
      </c>
      <c r="I806" s="240">
        <f>0.0001*F806</f>
        <v>3.0000000000000003E-4</v>
      </c>
    </row>
    <row r="807" spans="1:9" ht="22">
      <c r="A807" s="223" t="s">
        <v>2177</v>
      </c>
      <c r="B807" s="433" t="s">
        <v>157</v>
      </c>
      <c r="C807" s="468"/>
      <c r="D807" s="506" t="s">
        <v>2196</v>
      </c>
      <c r="E807" s="51" t="s">
        <v>7</v>
      </c>
      <c r="F807" s="484">
        <v>1</v>
      </c>
      <c r="G807" s="510"/>
      <c r="H807" s="510">
        <f t="shared" si="25"/>
        <v>0</v>
      </c>
      <c r="I807" s="240">
        <f>0.0001*F807</f>
        <v>1E-4</v>
      </c>
    </row>
    <row r="808" spans="1:9" ht="26">
      <c r="A808" s="223" t="s">
        <v>2178</v>
      </c>
      <c r="B808" s="433" t="s">
        <v>951</v>
      </c>
      <c r="C808" s="468"/>
      <c r="D808" s="213" t="s">
        <v>2476</v>
      </c>
      <c r="E808" s="51" t="s">
        <v>4</v>
      </c>
      <c r="F808" s="484">
        <f>46.35*8+24.5*7</f>
        <v>542.29999999999995</v>
      </c>
      <c r="G808" s="510"/>
      <c r="H808" s="510">
        <f t="shared" si="25"/>
        <v>0</v>
      </c>
      <c r="I808" s="240">
        <f t="shared" ref="I808:I813" si="26">0*F808</f>
        <v>0</v>
      </c>
    </row>
    <row r="809" spans="1:9">
      <c r="A809" s="223" t="s">
        <v>2179</v>
      </c>
      <c r="B809" s="475">
        <v>941321812</v>
      </c>
      <c r="C809" s="468"/>
      <c r="D809" s="507" t="s">
        <v>2477</v>
      </c>
      <c r="E809" s="51" t="s">
        <v>4</v>
      </c>
      <c r="F809" s="484">
        <f>F808</f>
        <v>542.29999999999995</v>
      </c>
      <c r="G809" s="510"/>
      <c r="H809" s="510">
        <f t="shared" si="25"/>
        <v>0</v>
      </c>
      <c r="I809" s="240">
        <f t="shared" si="26"/>
        <v>0</v>
      </c>
    </row>
    <row r="810" spans="1:9" ht="26">
      <c r="A810" s="223" t="s">
        <v>2180</v>
      </c>
      <c r="B810" s="475">
        <v>941321221</v>
      </c>
      <c r="C810" s="468"/>
      <c r="D810" s="209" t="s">
        <v>2651</v>
      </c>
      <c r="E810" s="51" t="s">
        <v>4</v>
      </c>
      <c r="F810" s="484">
        <f>F808</f>
        <v>542.29999999999995</v>
      </c>
      <c r="G810" s="510"/>
      <c r="H810" s="510">
        <f t="shared" si="25"/>
        <v>0</v>
      </c>
      <c r="I810" s="240">
        <f t="shared" si="26"/>
        <v>0</v>
      </c>
    </row>
    <row r="811" spans="1:9">
      <c r="A811" s="223" t="s">
        <v>2181</v>
      </c>
      <c r="B811" s="574">
        <v>943211111</v>
      </c>
      <c r="C811" s="468"/>
      <c r="D811" s="209" t="s">
        <v>2534</v>
      </c>
      <c r="E811" s="51" t="s">
        <v>8</v>
      </c>
      <c r="F811" s="484">
        <f>64.88*7.9</f>
        <v>512.55200000000002</v>
      </c>
      <c r="G811" s="510"/>
      <c r="H811" s="510">
        <f t="shared" si="25"/>
        <v>0</v>
      </c>
      <c r="I811" s="240">
        <f t="shared" si="26"/>
        <v>0</v>
      </c>
    </row>
    <row r="812" spans="1:9">
      <c r="A812" s="223" t="s">
        <v>2182</v>
      </c>
      <c r="B812" s="574">
        <v>943211811</v>
      </c>
      <c r="C812" s="468"/>
      <c r="D812" s="209" t="s">
        <v>2535</v>
      </c>
      <c r="E812" s="51" t="s">
        <v>8</v>
      </c>
      <c r="F812" s="484">
        <f>F811</f>
        <v>512.55200000000002</v>
      </c>
      <c r="G812" s="510"/>
      <c r="H812" s="510">
        <f t="shared" si="25"/>
        <v>0</v>
      </c>
      <c r="I812" s="240">
        <f t="shared" si="26"/>
        <v>0</v>
      </c>
    </row>
    <row r="813" spans="1:9" ht="29" thickBot="1">
      <c r="A813" s="223" t="s">
        <v>2183</v>
      </c>
      <c r="B813" s="575">
        <v>943211211</v>
      </c>
      <c r="C813" s="468"/>
      <c r="D813" s="589" t="s">
        <v>2652</v>
      </c>
      <c r="E813" s="51" t="s">
        <v>8</v>
      </c>
      <c r="F813" s="484">
        <v>512.54999999999995</v>
      </c>
      <c r="G813" s="510"/>
      <c r="H813" s="510">
        <f t="shared" si="25"/>
        <v>0</v>
      </c>
      <c r="I813" s="240">
        <f t="shared" si="26"/>
        <v>0</v>
      </c>
    </row>
    <row r="814" spans="1:9" s="51" customFormat="1" ht="22">
      <c r="A814" s="223" t="s">
        <v>2184</v>
      </c>
      <c r="B814" s="433" t="s">
        <v>157</v>
      </c>
      <c r="D814" s="213" t="s">
        <v>953</v>
      </c>
      <c r="E814" s="51" t="s">
        <v>955</v>
      </c>
      <c r="F814" s="51">
        <v>2</v>
      </c>
      <c r="G814" s="510"/>
      <c r="H814" s="510">
        <f t="shared" si="25"/>
        <v>0</v>
      </c>
      <c r="I814" s="240">
        <f>0.01*F814</f>
        <v>0.02</v>
      </c>
    </row>
    <row r="815" spans="1:9" s="51" customFormat="1" ht="22">
      <c r="A815" s="223" t="s">
        <v>2185</v>
      </c>
      <c r="B815" s="433" t="s">
        <v>157</v>
      </c>
      <c r="D815" s="213" t="s">
        <v>954</v>
      </c>
      <c r="E815" s="51" t="s">
        <v>955</v>
      </c>
      <c r="F815" s="51">
        <v>1</v>
      </c>
      <c r="G815" s="510"/>
      <c r="H815" s="510">
        <f t="shared" si="25"/>
        <v>0</v>
      </c>
      <c r="I815" s="240">
        <f>0.00004*F815</f>
        <v>4.0000000000000003E-5</v>
      </c>
    </row>
    <row r="816" spans="1:9" s="51" customFormat="1" ht="22">
      <c r="A816" s="223" t="s">
        <v>2186</v>
      </c>
      <c r="B816" s="433" t="s">
        <v>157</v>
      </c>
      <c r="D816" s="213" t="s">
        <v>952</v>
      </c>
      <c r="E816" s="508" t="s">
        <v>956</v>
      </c>
      <c r="F816" s="51">
        <v>3</v>
      </c>
      <c r="G816" s="510"/>
      <c r="H816" s="510">
        <f t="shared" si="25"/>
        <v>0</v>
      </c>
      <c r="I816" s="240">
        <f>0.00004*F816</f>
        <v>1.2000000000000002E-4</v>
      </c>
    </row>
    <row r="817" spans="1:9" s="51" customFormat="1" ht="22">
      <c r="A817" s="223" t="s">
        <v>2187</v>
      </c>
      <c r="B817" s="433" t="s">
        <v>157</v>
      </c>
      <c r="D817" s="213" t="s">
        <v>960</v>
      </c>
      <c r="E817" s="51" t="s">
        <v>7</v>
      </c>
      <c r="F817" s="51">
        <v>12</v>
      </c>
      <c r="G817" s="510"/>
      <c r="H817" s="510">
        <f t="shared" si="25"/>
        <v>0</v>
      </c>
      <c r="I817" s="240">
        <f>0.00004*F817</f>
        <v>4.8000000000000007E-4</v>
      </c>
    </row>
    <row r="818" spans="1:9" s="51" customFormat="1" ht="22">
      <c r="A818" s="223" t="s">
        <v>2188</v>
      </c>
      <c r="B818" s="433" t="s">
        <v>157</v>
      </c>
      <c r="D818" s="213" t="s">
        <v>971</v>
      </c>
      <c r="E818" s="51" t="s">
        <v>7</v>
      </c>
      <c r="F818" s="51">
        <v>1</v>
      </c>
      <c r="G818" s="510"/>
      <c r="H818" s="510">
        <f t="shared" si="25"/>
        <v>0</v>
      </c>
      <c r="I818" s="240">
        <f>0.05*F818</f>
        <v>0.05</v>
      </c>
    </row>
    <row r="819" spans="1:9" s="51" customFormat="1" ht="78">
      <c r="A819" s="223" t="s">
        <v>2189</v>
      </c>
      <c r="B819" s="433" t="s">
        <v>157</v>
      </c>
      <c r="D819" s="314" t="s">
        <v>2478</v>
      </c>
      <c r="E819" s="461" t="s">
        <v>2</v>
      </c>
      <c r="F819" s="461">
        <v>28.9</v>
      </c>
      <c r="G819" s="721"/>
      <c r="H819" s="721">
        <f t="shared" si="25"/>
        <v>0</v>
      </c>
      <c r="I819" s="522"/>
    </row>
    <row r="820" spans="1:9" s="51" customFormat="1" ht="26">
      <c r="A820" s="223" t="s">
        <v>2190</v>
      </c>
      <c r="B820" s="433" t="s">
        <v>157</v>
      </c>
      <c r="D820" s="314" t="s">
        <v>2479</v>
      </c>
      <c r="E820" s="461" t="s">
        <v>7</v>
      </c>
      <c r="F820" s="461">
        <v>12</v>
      </c>
      <c r="G820" s="721"/>
      <c r="H820" s="721">
        <f t="shared" si="25"/>
        <v>0</v>
      </c>
      <c r="I820" s="522"/>
    </row>
    <row r="821" spans="1:9">
      <c r="A821" s="223" t="s">
        <v>2191</v>
      </c>
      <c r="B821" s="402">
        <v>998011003</v>
      </c>
      <c r="C821" s="509"/>
      <c r="D821" s="51" t="s">
        <v>950</v>
      </c>
      <c r="E821" s="51" t="s">
        <v>10</v>
      </c>
      <c r="F821" s="240">
        <f>I60+I65+I174+I428+I488+I616+I706+I801</f>
        <v>565.3316474050315</v>
      </c>
      <c r="G821" s="510"/>
      <c r="H821" s="510">
        <f>F821*G821</f>
        <v>0</v>
      </c>
    </row>
    <row r="822" spans="1:9" ht="14">
      <c r="A822" s="223" t="s">
        <v>2192</v>
      </c>
      <c r="B822" s="663"/>
      <c r="C822" s="649"/>
      <c r="D822" s="650" t="s">
        <v>2672</v>
      </c>
      <c r="E822" s="651"/>
      <c r="F822" s="652"/>
      <c r="G822" s="653"/>
      <c r="H822" s="653"/>
      <c r="I822" s="655"/>
    </row>
    <row r="823" spans="1:9">
      <c r="A823" s="223" t="s">
        <v>2193</v>
      </c>
      <c r="B823" s="433"/>
      <c r="C823" s="509"/>
      <c r="D823" s="51" t="s">
        <v>973</v>
      </c>
      <c r="E823" s="51" t="s">
        <v>1</v>
      </c>
      <c r="F823" s="240">
        <v>42</v>
      </c>
      <c r="G823" s="510"/>
      <c r="H823" s="510">
        <f>F823*G823</f>
        <v>0</v>
      </c>
    </row>
    <row r="824" spans="1:9">
      <c r="A824" s="223" t="s">
        <v>2194</v>
      </c>
      <c r="B824" s="433"/>
      <c r="C824" s="509"/>
      <c r="D824" s="51" t="s">
        <v>31</v>
      </c>
      <c r="E824" s="51" t="s">
        <v>7</v>
      </c>
      <c r="F824" s="51">
        <v>1</v>
      </c>
      <c r="G824" s="510"/>
      <c r="H824" s="510">
        <f>F824*G824</f>
        <v>0</v>
      </c>
    </row>
    <row r="825" spans="1:9">
      <c r="A825" s="223" t="s">
        <v>2195</v>
      </c>
      <c r="B825" s="433"/>
      <c r="C825" s="509"/>
      <c r="D825" s="51" t="s">
        <v>972</v>
      </c>
      <c r="E825" s="51" t="s">
        <v>7</v>
      </c>
      <c r="F825" s="51">
        <v>1</v>
      </c>
      <c r="G825" s="510"/>
      <c r="H825" s="510">
        <f>F825*G825</f>
        <v>0</v>
      </c>
    </row>
  </sheetData>
  <phoneticPr fontId="63" type="noConversion"/>
  <printOptions gridLines="1"/>
  <pageMargins left="0.31496062992125984" right="0.31496062992125984" top="0.59055118110236227" bottom="0.59055118110236227" header="0.31496062992125984" footer="0.31496062992125984"/>
  <pageSetup paperSize="9" scale="76" fitToHeight="100" orientation="portrait" blackAndWhite="1" horizontalDpi="300" verticalDpi="300" r:id="rId1"/>
  <headerFooter>
    <oddFooter>&amp;C&amp;Pz&amp;N</oddFooter>
  </headerFooter>
  <rowBreaks count="1" manualBreakCount="1">
    <brk id="1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J856"/>
  <sheetViews>
    <sheetView workbookViewId="0">
      <selection sqref="A1:IV65536"/>
    </sheetView>
  </sheetViews>
  <sheetFormatPr baseColWidth="10" defaultColWidth="8.83203125" defaultRowHeight="13"/>
  <cols>
    <col min="1" max="1" width="6" style="18" customWidth="1"/>
    <col min="2" max="2" width="8.6640625" style="168" customWidth="1"/>
    <col min="3" max="3" width="7.5" style="32" customWidth="1"/>
    <col min="4" max="4" width="67.33203125" style="18" customWidth="1"/>
    <col min="5" max="5" width="3.83203125" style="18" customWidth="1"/>
    <col min="6" max="6" width="7.1640625" style="18" customWidth="1"/>
    <col min="7" max="7" width="8.83203125" style="43"/>
    <col min="8" max="8" width="10" style="18" customWidth="1"/>
    <col min="9" max="9" width="5.5" style="30" customWidth="1"/>
    <col min="10" max="16384" width="8.83203125" style="18"/>
  </cols>
  <sheetData>
    <row r="2" spans="4:8" ht="14">
      <c r="D2" s="52" t="s">
        <v>38</v>
      </c>
      <c r="E2" s="47"/>
      <c r="F2" s="48"/>
      <c r="G2" s="49"/>
      <c r="H2" s="42"/>
    </row>
    <row r="3" spans="4:8" ht="14">
      <c r="D3" s="53" t="s">
        <v>39</v>
      </c>
      <c r="E3" s="47"/>
      <c r="F3" s="48"/>
      <c r="G3" s="49"/>
      <c r="H3" s="42"/>
    </row>
    <row r="4" spans="4:8">
      <c r="D4" s="53"/>
      <c r="E4" s="47"/>
      <c r="F4" s="48"/>
      <c r="G4" s="49"/>
      <c r="H4" s="42"/>
    </row>
    <row r="5" spans="4:8" ht="14">
      <c r="D5" s="53" t="s">
        <v>40</v>
      </c>
      <c r="E5" s="47"/>
      <c r="F5" s="48"/>
      <c r="G5" s="49"/>
      <c r="H5" s="42"/>
    </row>
    <row r="6" spans="4:8" ht="28">
      <c r="D6" s="52" t="s">
        <v>41</v>
      </c>
      <c r="E6" s="47"/>
      <c r="F6" s="48"/>
      <c r="G6" s="49"/>
      <c r="H6" s="42"/>
    </row>
    <row r="7" spans="4:8" ht="14">
      <c r="D7" s="53" t="s">
        <v>42</v>
      </c>
      <c r="E7" s="47"/>
      <c r="F7" s="48"/>
      <c r="G7" s="49"/>
      <c r="H7" s="42"/>
    </row>
    <row r="8" spans="4:8">
      <c r="D8" s="53"/>
      <c r="E8" s="47"/>
      <c r="F8" s="48"/>
      <c r="G8" s="49"/>
      <c r="H8" s="42"/>
    </row>
    <row r="9" spans="4:8" ht="14">
      <c r="D9" s="53" t="s">
        <v>43</v>
      </c>
      <c r="E9" s="47"/>
      <c r="F9" s="48"/>
      <c r="G9" s="49"/>
      <c r="H9" s="42"/>
    </row>
    <row r="10" spans="4:8" ht="14">
      <c r="D10" s="54" t="s">
        <v>44</v>
      </c>
      <c r="E10" s="47"/>
      <c r="F10" s="48"/>
      <c r="G10" s="49"/>
      <c r="H10" s="42"/>
    </row>
    <row r="11" spans="4:8">
      <c r="D11" s="54"/>
      <c r="E11" s="47"/>
      <c r="F11" s="48"/>
      <c r="G11" s="49"/>
      <c r="H11" s="42"/>
    </row>
    <row r="12" spans="4:8" ht="14">
      <c r="D12" s="55" t="s">
        <v>45</v>
      </c>
      <c r="E12" s="47"/>
      <c r="F12" s="48"/>
      <c r="G12" s="49"/>
      <c r="H12" s="42"/>
    </row>
    <row r="13" spans="4:8" ht="27">
      <c r="D13" s="54" t="s">
        <v>46</v>
      </c>
      <c r="E13" s="47"/>
      <c r="F13" s="48"/>
      <c r="G13" s="49"/>
      <c r="H13" s="42"/>
    </row>
    <row r="14" spans="4:8">
      <c r="D14" s="54"/>
      <c r="E14" s="47"/>
      <c r="F14" s="48"/>
      <c r="G14" s="49"/>
      <c r="H14" s="42"/>
    </row>
    <row r="15" spans="4:8">
      <c r="D15" s="54"/>
      <c r="E15" s="47"/>
      <c r="F15" s="48"/>
      <c r="G15" s="49"/>
      <c r="H15" s="42"/>
    </row>
    <row r="16" spans="4:8" ht="14">
      <c r="D16" s="54" t="s">
        <v>47</v>
      </c>
      <c r="E16" s="47"/>
      <c r="F16" s="48"/>
      <c r="G16" s="49"/>
      <c r="H16" s="42"/>
    </row>
    <row r="17" spans="4:8">
      <c r="D17" s="54"/>
      <c r="E17" s="47"/>
      <c r="F17" s="48"/>
      <c r="G17" s="49"/>
      <c r="H17" s="42"/>
    </row>
    <row r="18" spans="4:8" ht="14">
      <c r="D18" s="56" t="s">
        <v>54</v>
      </c>
      <c r="E18" s="47" t="s">
        <v>48</v>
      </c>
      <c r="F18" s="48"/>
      <c r="G18" s="49"/>
      <c r="H18" s="42">
        <f>H51</f>
        <v>178821.5</v>
      </c>
    </row>
    <row r="19" spans="4:8" ht="14">
      <c r="D19" s="57" t="s">
        <v>0</v>
      </c>
      <c r="E19" s="47" t="s">
        <v>48</v>
      </c>
      <c r="F19" s="48"/>
      <c r="G19" s="49"/>
      <c r="H19" s="42">
        <f>H56</f>
        <v>2174125.5267587192</v>
      </c>
    </row>
    <row r="20" spans="4:8" ht="14">
      <c r="D20" s="57" t="s">
        <v>55</v>
      </c>
      <c r="E20" s="47" t="s">
        <v>48</v>
      </c>
      <c r="F20" s="48"/>
      <c r="G20" s="49"/>
      <c r="H20" s="42">
        <f>H200</f>
        <v>251733.171</v>
      </c>
    </row>
    <row r="21" spans="4:8" ht="14">
      <c r="D21" s="57" t="s">
        <v>644</v>
      </c>
      <c r="E21" s="47" t="s">
        <v>48</v>
      </c>
      <c r="F21" s="48"/>
      <c r="G21" s="49"/>
      <c r="H21" s="42">
        <f>H219</f>
        <v>771106.22605321801</v>
      </c>
    </row>
    <row r="22" spans="4:8" ht="14">
      <c r="D22" s="57" t="s">
        <v>645</v>
      </c>
      <c r="E22" s="47" t="s">
        <v>48</v>
      </c>
      <c r="F22" s="48"/>
      <c r="G22" s="49"/>
      <c r="H22" s="42">
        <f>H300</f>
        <v>1815568.50978</v>
      </c>
    </row>
    <row r="23" spans="4:8" ht="14">
      <c r="D23" s="57" t="s">
        <v>646</v>
      </c>
      <c r="E23" s="47"/>
      <c r="F23" s="48"/>
      <c r="G23" s="49"/>
      <c r="H23" s="42">
        <f>H400</f>
        <v>125924.69304999999</v>
      </c>
    </row>
    <row r="24" spans="4:8" ht="14">
      <c r="D24" s="57" t="s">
        <v>56</v>
      </c>
      <c r="E24" s="47" t="s">
        <v>48</v>
      </c>
      <c r="F24" s="48"/>
      <c r="G24" s="49"/>
      <c r="H24" s="42">
        <f>H455</f>
        <v>863224.74601599993</v>
      </c>
    </row>
    <row r="25" spans="4:8" ht="14">
      <c r="D25" s="57" t="s">
        <v>796</v>
      </c>
      <c r="E25" s="47" t="s">
        <v>48</v>
      </c>
      <c r="F25" s="48"/>
      <c r="G25" s="49"/>
      <c r="H25" s="42">
        <f>H531</f>
        <v>295592.42204079928</v>
      </c>
    </row>
    <row r="26" spans="4:8" ht="14">
      <c r="D26" s="57" t="s">
        <v>427</v>
      </c>
      <c r="E26" s="47" t="s">
        <v>48</v>
      </c>
      <c r="F26" s="48"/>
      <c r="G26" s="49"/>
      <c r="H26" s="42">
        <f>H604</f>
        <v>1080298.9758199996</v>
      </c>
    </row>
    <row r="27" spans="4:8" ht="14">
      <c r="D27" s="57" t="s">
        <v>558</v>
      </c>
      <c r="E27" s="47" t="s">
        <v>48</v>
      </c>
      <c r="F27" s="48"/>
      <c r="G27" s="49"/>
      <c r="H27" s="42">
        <f>H760</f>
        <v>677456.79161825019</v>
      </c>
    </row>
    <row r="28" spans="4:8">
      <c r="D28" s="57"/>
      <c r="E28" s="47" t="s">
        <v>48</v>
      </c>
      <c r="F28" s="48"/>
      <c r="G28" s="49"/>
      <c r="H28" s="42"/>
    </row>
    <row r="29" spans="4:8">
      <c r="D29" s="57"/>
      <c r="E29" s="47" t="s">
        <v>48</v>
      </c>
      <c r="F29" s="48"/>
      <c r="G29" s="49"/>
      <c r="H29" s="42"/>
    </row>
    <row r="30" spans="4:8">
      <c r="D30" s="57"/>
      <c r="E30" s="47" t="s">
        <v>48</v>
      </c>
      <c r="F30" s="48"/>
      <c r="G30" s="49"/>
      <c r="H30" s="42"/>
    </row>
    <row r="31" spans="4:8">
      <c r="D31" s="57"/>
      <c r="E31" s="47" t="s">
        <v>48</v>
      </c>
      <c r="F31" s="48"/>
      <c r="G31" s="49"/>
      <c r="H31" s="42"/>
    </row>
    <row r="32" spans="4:8">
      <c r="D32" s="57"/>
      <c r="E32" s="47" t="s">
        <v>48</v>
      </c>
      <c r="F32" s="48"/>
      <c r="G32" s="49"/>
      <c r="H32" s="58"/>
    </row>
    <row r="33" spans="4:8">
      <c r="D33" s="56"/>
      <c r="E33" s="47" t="s">
        <v>48</v>
      </c>
      <c r="F33" s="48"/>
      <c r="G33" s="49"/>
      <c r="H33" s="58">
        <f>H884</f>
        <v>0</v>
      </c>
    </row>
    <row r="34" spans="4:8">
      <c r="D34" s="13"/>
      <c r="E34" s="47" t="s">
        <v>48</v>
      </c>
      <c r="F34" s="48"/>
      <c r="G34" s="49"/>
      <c r="H34" s="58">
        <f>H934</f>
        <v>0</v>
      </c>
    </row>
    <row r="35" spans="4:8">
      <c r="D35" s="56"/>
      <c r="E35" s="47" t="s">
        <v>48</v>
      </c>
      <c r="F35" s="48"/>
      <c r="G35" s="49"/>
      <c r="H35" s="58">
        <f>H942</f>
        <v>0</v>
      </c>
    </row>
    <row r="36" spans="4:8">
      <c r="D36" s="56"/>
      <c r="E36" s="47" t="s">
        <v>48</v>
      </c>
      <c r="F36" s="48"/>
      <c r="G36" s="49"/>
      <c r="H36" s="58">
        <f>H950</f>
        <v>0</v>
      </c>
    </row>
    <row r="37" spans="4:8">
      <c r="D37" s="56"/>
      <c r="E37" s="47" t="s">
        <v>48</v>
      </c>
      <c r="F37" s="48"/>
      <c r="G37" s="49"/>
      <c r="H37" s="58">
        <f>H953</f>
        <v>0</v>
      </c>
    </row>
    <row r="38" spans="4:8">
      <c r="D38" s="59"/>
      <c r="E38" s="47">
        <v>3430</v>
      </c>
      <c r="F38" s="48"/>
      <c r="G38" s="49"/>
      <c r="H38" s="42"/>
    </row>
    <row r="39" spans="4:8">
      <c r="D39" s="46"/>
      <c r="E39" s="47"/>
      <c r="F39" s="48"/>
      <c r="G39" s="49"/>
      <c r="H39" s="42"/>
    </row>
    <row r="40" spans="4:8" ht="14">
      <c r="D40" s="54" t="s">
        <v>49</v>
      </c>
      <c r="E40" s="60" t="s">
        <v>48</v>
      </c>
      <c r="F40" s="48"/>
      <c r="G40" s="49"/>
      <c r="H40" s="61">
        <f>SUM(H18:H39)</f>
        <v>8233852.5621369872</v>
      </c>
    </row>
    <row r="41" spans="4:8">
      <c r="D41" s="62"/>
      <c r="E41" s="63"/>
      <c r="F41" s="48"/>
      <c r="G41" s="49"/>
      <c r="H41" s="61"/>
    </row>
    <row r="42" spans="4:8" ht="14">
      <c r="D42" s="16" t="s">
        <v>50</v>
      </c>
      <c r="E42" s="47" t="s">
        <v>48</v>
      </c>
      <c r="F42" s="48"/>
      <c r="G42" s="49"/>
      <c r="H42" s="42">
        <f>H40*0.21</f>
        <v>1729109.0380487673</v>
      </c>
    </row>
    <row r="43" spans="4:8" ht="14">
      <c r="D43" s="62" t="s">
        <v>51</v>
      </c>
      <c r="E43" s="63" t="s">
        <v>48</v>
      </c>
      <c r="F43" s="48"/>
      <c r="G43" s="49"/>
      <c r="H43" s="64">
        <f>SUM(H40:H42)</f>
        <v>9962961.6001857538</v>
      </c>
    </row>
    <row r="49" spans="1:10" s="51" customFormat="1" ht="36">
      <c r="A49" s="65" t="s">
        <v>52</v>
      </c>
      <c r="B49" s="169" t="s">
        <v>57</v>
      </c>
      <c r="C49" s="169" t="s">
        <v>58</v>
      </c>
      <c r="D49" s="66" t="s">
        <v>53</v>
      </c>
      <c r="E49" s="79" t="s">
        <v>63</v>
      </c>
      <c r="F49" s="67" t="s">
        <v>64</v>
      </c>
      <c r="G49" s="68" t="s">
        <v>65</v>
      </c>
      <c r="H49" s="80" t="s">
        <v>66</v>
      </c>
      <c r="I49" s="69" t="s">
        <v>801</v>
      </c>
    </row>
    <row r="51" spans="1:10" ht="14">
      <c r="D51" s="72" t="s">
        <v>61</v>
      </c>
      <c r="E51" s="75" t="s">
        <v>59</v>
      </c>
      <c r="F51" s="73" t="s">
        <v>60</v>
      </c>
      <c r="G51" s="74"/>
      <c r="H51" s="74">
        <f>SUM(H52:H54)</f>
        <v>178821.5</v>
      </c>
    </row>
    <row r="52" spans="1:10" ht="42">
      <c r="B52" s="33" t="s">
        <v>29</v>
      </c>
      <c r="C52" s="369"/>
      <c r="D52" s="2" t="s">
        <v>68</v>
      </c>
      <c r="E52" s="3" t="s">
        <v>1</v>
      </c>
      <c r="F52" s="4">
        <v>20</v>
      </c>
      <c r="G52" s="49">
        <v>679</v>
      </c>
      <c r="H52" s="5">
        <f>F52*G52</f>
        <v>13580</v>
      </c>
      <c r="I52" s="27"/>
    </row>
    <row r="53" spans="1:10" ht="56">
      <c r="B53" s="82" t="s">
        <v>67</v>
      </c>
      <c r="C53" s="369"/>
      <c r="D53" s="2" t="s">
        <v>70</v>
      </c>
      <c r="E53" s="3" t="s">
        <v>2</v>
      </c>
      <c r="F53" s="4">
        <f>18*28+15*8</f>
        <v>624</v>
      </c>
      <c r="G53" s="49">
        <v>248</v>
      </c>
      <c r="H53" s="5">
        <f>F53*G53</f>
        <v>154752</v>
      </c>
      <c r="I53" s="27">
        <f>0.04*F53</f>
        <v>24.96</v>
      </c>
    </row>
    <row r="54" spans="1:10" ht="28">
      <c r="B54" s="33">
        <v>119001412</v>
      </c>
      <c r="C54" s="369"/>
      <c r="D54" s="2" t="s">
        <v>69</v>
      </c>
      <c r="E54" s="3" t="s">
        <v>2</v>
      </c>
      <c r="F54" s="6">
        <v>18.5</v>
      </c>
      <c r="G54" s="49">
        <v>567</v>
      </c>
      <c r="H54" s="5">
        <f>F54*G54</f>
        <v>10489.5</v>
      </c>
      <c r="I54" s="27">
        <f>0.01269*F54</f>
        <v>0.234765</v>
      </c>
    </row>
    <row r="56" spans="1:10" ht="15">
      <c r="D56" s="78" t="s">
        <v>62</v>
      </c>
      <c r="E56" s="75" t="s">
        <v>59</v>
      </c>
      <c r="F56" s="73" t="s">
        <v>60</v>
      </c>
      <c r="G56" s="40"/>
      <c r="H56" s="129">
        <f>SUM(H57:H121)</f>
        <v>2174125.5267587192</v>
      </c>
      <c r="I56" s="40">
        <f>SUM(I57:I121)</f>
        <v>420.72875030639995</v>
      </c>
      <c r="J56" s="17"/>
    </row>
    <row r="57" spans="1:10">
      <c r="D57" s="81" t="s">
        <v>802</v>
      </c>
      <c r="E57" s="17"/>
      <c r="F57" s="17"/>
      <c r="G57" s="40"/>
      <c r="H57" s="17"/>
      <c r="I57" s="26"/>
      <c r="J57" s="17"/>
    </row>
    <row r="58" spans="1:10" ht="56">
      <c r="B58" s="34">
        <v>131251104</v>
      </c>
      <c r="C58" s="369"/>
      <c r="D58" s="7" t="s">
        <v>74</v>
      </c>
      <c r="E58" s="21" t="s">
        <v>8</v>
      </c>
      <c r="F58" s="4">
        <f>165*2.11+117*0.9</f>
        <v>453.45</v>
      </c>
      <c r="G58" s="83">
        <v>203</v>
      </c>
      <c r="H58" s="84">
        <f>F58*G58</f>
        <v>92050.349999999991</v>
      </c>
      <c r="I58" s="26"/>
      <c r="J58" s="17"/>
    </row>
    <row r="59" spans="1:10" ht="28">
      <c r="B59" s="34">
        <v>174151102</v>
      </c>
      <c r="C59" s="370" t="s">
        <v>9</v>
      </c>
      <c r="D59" s="2" t="s">
        <v>75</v>
      </c>
      <c r="E59" s="21" t="s">
        <v>8</v>
      </c>
      <c r="F59" s="4">
        <f>453-(74.9*1.3)</f>
        <v>355.63</v>
      </c>
      <c r="G59" s="85">
        <v>391</v>
      </c>
      <c r="H59" s="5">
        <f>F59*G59</f>
        <v>139051.32999999999</v>
      </c>
      <c r="I59" s="27">
        <v>0</v>
      </c>
      <c r="J59" s="17"/>
    </row>
    <row r="60" spans="1:10" ht="42">
      <c r="B60" s="86">
        <v>1627511108</v>
      </c>
      <c r="C60" s="369"/>
      <c r="D60" s="94" t="s">
        <v>76</v>
      </c>
      <c r="E60" s="17" t="s">
        <v>8</v>
      </c>
      <c r="F60" s="84">
        <f>F58+F59</f>
        <v>809.07999999999993</v>
      </c>
      <c r="G60" s="83">
        <v>298</v>
      </c>
      <c r="H60" s="84">
        <f>F60*G60</f>
        <v>241105.83999999997</v>
      </c>
      <c r="I60" s="26"/>
      <c r="J60" s="17"/>
    </row>
    <row r="61" spans="1:10" ht="14">
      <c r="B61" s="34"/>
      <c r="C61" s="369"/>
      <c r="D61" s="7" t="s">
        <v>71</v>
      </c>
      <c r="E61" s="21"/>
      <c r="F61" s="4"/>
      <c r="G61" s="83"/>
      <c r="H61" s="84"/>
      <c r="I61" s="26"/>
      <c r="J61" s="17"/>
    </row>
    <row r="62" spans="1:10">
      <c r="B62" s="34"/>
      <c r="C62" s="370"/>
      <c r="D62" s="2"/>
      <c r="E62" s="21"/>
      <c r="F62" s="4"/>
      <c r="G62" s="85"/>
      <c r="H62" s="5"/>
      <c r="I62" s="27"/>
      <c r="J62" s="17"/>
    </row>
    <row r="63" spans="1:10" ht="42">
      <c r="B63" s="34">
        <v>131251104</v>
      </c>
      <c r="C63" s="369"/>
      <c r="D63" s="7" t="s">
        <v>77</v>
      </c>
      <c r="E63" s="3" t="s">
        <v>8</v>
      </c>
      <c r="F63" s="4">
        <f>(150+110)*1.5</f>
        <v>390</v>
      </c>
      <c r="G63" s="85">
        <v>203</v>
      </c>
      <c r="H63" s="8">
        <f>F63*G63</f>
        <v>79170</v>
      </c>
      <c r="I63" s="26"/>
      <c r="J63" s="17"/>
    </row>
    <row r="64" spans="1:10" ht="42">
      <c r="B64" s="87">
        <v>174151102</v>
      </c>
      <c r="C64" s="369"/>
      <c r="D64" s="94" t="s">
        <v>78</v>
      </c>
      <c r="E64" s="17" t="s">
        <v>8</v>
      </c>
      <c r="F64" s="88">
        <f>150* 1.5+110* 1.5-(1.35*74.95)</f>
        <v>288.8175</v>
      </c>
      <c r="G64" s="83">
        <v>391</v>
      </c>
      <c r="H64" s="84">
        <f>F64*G64</f>
        <v>112927.6425</v>
      </c>
      <c r="I64" s="26"/>
      <c r="J64" s="17"/>
    </row>
    <row r="65" spans="2:10" ht="14">
      <c r="B65" s="89">
        <v>58337344</v>
      </c>
      <c r="C65" s="369"/>
      <c r="D65" s="2" t="s">
        <v>79</v>
      </c>
      <c r="E65" s="3" t="s">
        <v>10</v>
      </c>
      <c r="F65" s="4">
        <f>(F64-97)*2.054</f>
        <v>393.99314499999997</v>
      </c>
      <c r="G65" s="90">
        <v>346</v>
      </c>
      <c r="H65" s="5">
        <f>F65*G65</f>
        <v>136321.62816999998</v>
      </c>
      <c r="I65" s="91">
        <f>F65</f>
        <v>393.99314499999997</v>
      </c>
      <c r="J65" s="17"/>
    </row>
    <row r="66" spans="2:10" ht="42">
      <c r="B66" s="37"/>
      <c r="C66" s="369"/>
      <c r="D66" s="9" t="s">
        <v>72</v>
      </c>
      <c r="E66" s="3"/>
      <c r="F66" s="4"/>
      <c r="G66" s="92"/>
      <c r="H66" s="5"/>
      <c r="I66" s="91"/>
      <c r="J66" s="17"/>
    </row>
    <row r="67" spans="2:10">
      <c r="B67" s="32"/>
      <c r="C67" s="369"/>
      <c r="D67" s="19"/>
      <c r="E67" s="17"/>
      <c r="F67" s="17"/>
      <c r="G67" s="83"/>
      <c r="H67" s="84"/>
      <c r="I67" s="26"/>
      <c r="J67" s="17"/>
    </row>
    <row r="68" spans="2:10" ht="28">
      <c r="B68" s="93">
        <v>1627511108</v>
      </c>
      <c r="C68" s="369"/>
      <c r="D68" s="94" t="s">
        <v>80</v>
      </c>
      <c r="E68" s="17" t="s">
        <v>8</v>
      </c>
      <c r="F68" s="17">
        <v>97</v>
      </c>
      <c r="G68" s="83">
        <v>298</v>
      </c>
      <c r="H68" s="5">
        <f t="shared" ref="H68:H73" si="0">F68*G68</f>
        <v>28906</v>
      </c>
      <c r="I68" s="26"/>
      <c r="J68" s="17"/>
    </row>
    <row r="69" spans="2:10" ht="28">
      <c r="B69" s="34" t="s">
        <v>73</v>
      </c>
      <c r="C69" s="369"/>
      <c r="D69" s="7" t="s">
        <v>81</v>
      </c>
      <c r="E69" s="3" t="s">
        <v>4</v>
      </c>
      <c r="F69" s="4">
        <v>125</v>
      </c>
      <c r="G69" s="85">
        <v>74.599999999999994</v>
      </c>
      <c r="H69" s="25">
        <f t="shared" si="0"/>
        <v>9325</v>
      </c>
      <c r="I69" s="26"/>
      <c r="J69" s="17"/>
    </row>
    <row r="70" spans="2:10" ht="28">
      <c r="B70" s="87">
        <v>162751137</v>
      </c>
      <c r="C70" s="369"/>
      <c r="D70" s="7" t="s">
        <v>89</v>
      </c>
      <c r="E70" s="3" t="s">
        <v>8</v>
      </c>
      <c r="F70" s="4">
        <v>390</v>
      </c>
      <c r="G70" s="85">
        <v>345</v>
      </c>
      <c r="H70" s="8">
        <f t="shared" si="0"/>
        <v>134550</v>
      </c>
      <c r="I70" s="26"/>
      <c r="J70" s="17"/>
    </row>
    <row r="71" spans="2:10" ht="42">
      <c r="B71" s="87">
        <v>162751139</v>
      </c>
      <c r="C71" s="369"/>
      <c r="D71" s="7" t="s">
        <v>90</v>
      </c>
      <c r="E71" s="3" t="s">
        <v>8</v>
      </c>
      <c r="F71" s="4">
        <v>390</v>
      </c>
      <c r="G71" s="95">
        <f>50*27</f>
        <v>1350</v>
      </c>
      <c r="H71" s="8">
        <f t="shared" si="0"/>
        <v>526500</v>
      </c>
      <c r="I71" s="26"/>
      <c r="J71" s="17"/>
    </row>
    <row r="72" spans="2:10" ht="42">
      <c r="B72" s="87">
        <v>997221873</v>
      </c>
      <c r="C72" s="369"/>
      <c r="D72" s="7" t="s">
        <v>91</v>
      </c>
      <c r="E72" s="3" t="s">
        <v>10</v>
      </c>
      <c r="F72" s="4">
        <f>2.4*390</f>
        <v>936</v>
      </c>
      <c r="G72" s="49">
        <v>294</v>
      </c>
      <c r="H72" s="8">
        <f t="shared" si="0"/>
        <v>275184</v>
      </c>
      <c r="I72" s="26"/>
      <c r="J72" s="17"/>
    </row>
    <row r="73" spans="2:10" ht="14">
      <c r="B73" s="34" t="s">
        <v>35</v>
      </c>
      <c r="C73" s="369"/>
      <c r="D73" s="7" t="s">
        <v>92</v>
      </c>
      <c r="E73" s="3" t="s">
        <v>7</v>
      </c>
      <c r="F73" s="4">
        <v>10</v>
      </c>
      <c r="G73" s="85">
        <f>3.4*193</f>
        <v>656.19999999999993</v>
      </c>
      <c r="H73" s="25">
        <f t="shared" si="0"/>
        <v>6561.9999999999991</v>
      </c>
      <c r="I73" s="26"/>
      <c r="J73" s="17"/>
    </row>
    <row r="74" spans="2:10">
      <c r="B74" s="34"/>
      <c r="C74" s="369"/>
      <c r="D74" s="7"/>
      <c r="E74" s="3"/>
      <c r="F74" s="4"/>
      <c r="G74" s="85"/>
      <c r="H74" s="25"/>
      <c r="I74" s="26"/>
      <c r="J74" s="17"/>
    </row>
    <row r="75" spans="2:10" ht="28">
      <c r="B75" s="38">
        <v>10364100</v>
      </c>
      <c r="C75" s="369"/>
      <c r="D75" s="19" t="s">
        <v>82</v>
      </c>
      <c r="E75" s="17" t="s">
        <v>10</v>
      </c>
      <c r="F75" s="17">
        <f>6.7*33.9*1.7</f>
        <v>386.12099999999998</v>
      </c>
      <c r="G75" s="83">
        <v>252</v>
      </c>
      <c r="H75" s="25">
        <f>F75*G75</f>
        <v>97302.491999999998</v>
      </c>
      <c r="I75" s="26"/>
      <c r="J75" s="17"/>
    </row>
    <row r="76" spans="2:10">
      <c r="B76" s="32">
        <v>181951112</v>
      </c>
      <c r="C76" s="369"/>
      <c r="D76" s="17" t="s">
        <v>83</v>
      </c>
      <c r="E76" s="17" t="s">
        <v>4</v>
      </c>
      <c r="F76" s="17">
        <f>24*30</f>
        <v>720</v>
      </c>
      <c r="G76" s="83">
        <v>24.1</v>
      </c>
      <c r="H76" s="25">
        <f>F76*G76</f>
        <v>17352</v>
      </c>
      <c r="I76" s="26"/>
      <c r="J76" s="17"/>
    </row>
    <row r="77" spans="2:10">
      <c r="B77" s="32"/>
      <c r="C77" s="369"/>
      <c r="D77" s="17"/>
      <c r="E77" s="17"/>
      <c r="F77" s="17"/>
      <c r="G77" s="83"/>
      <c r="H77" s="84"/>
      <c r="I77" s="26"/>
      <c r="J77" s="17"/>
    </row>
    <row r="78" spans="2:10" ht="14">
      <c r="B78" s="32"/>
      <c r="C78" s="369"/>
      <c r="D78" s="22" t="s">
        <v>16</v>
      </c>
      <c r="E78" s="17"/>
      <c r="F78" s="17"/>
      <c r="G78" s="83"/>
      <c r="H78" s="84"/>
      <c r="I78" s="26"/>
      <c r="J78" s="17"/>
    </row>
    <row r="79" spans="2:10" ht="28">
      <c r="B79" s="32" t="s">
        <v>84</v>
      </c>
      <c r="C79" s="369"/>
      <c r="D79" s="19" t="s">
        <v>85</v>
      </c>
      <c r="E79" s="17" t="s">
        <v>2</v>
      </c>
      <c r="F79" s="17">
        <f>36.8+6.3*2+1</f>
        <v>50.4</v>
      </c>
      <c r="G79" s="83">
        <v>314</v>
      </c>
      <c r="H79" s="5">
        <f>F79*G79</f>
        <v>15825.6</v>
      </c>
      <c r="I79" s="96">
        <f>0.20449*F79</f>
        <v>10.306296</v>
      </c>
      <c r="J79" s="17"/>
    </row>
    <row r="80" spans="2:10" ht="28">
      <c r="B80" s="36">
        <v>919726121</v>
      </c>
      <c r="C80" s="371"/>
      <c r="D80" s="70" t="s">
        <v>86</v>
      </c>
      <c r="E80" s="24" t="s">
        <v>4</v>
      </c>
      <c r="F80" s="24">
        <f>0.5*50.4</f>
        <v>25.2</v>
      </c>
      <c r="G80" s="90">
        <v>56</v>
      </c>
      <c r="H80" s="5">
        <f>F80*G80</f>
        <v>1411.2</v>
      </c>
      <c r="I80" s="96">
        <f>0.00036*F80</f>
        <v>9.0720000000000002E-3</v>
      </c>
      <c r="J80" s="17"/>
    </row>
    <row r="81" spans="2:10" ht="24">
      <c r="B81" s="97" t="s">
        <v>87</v>
      </c>
      <c r="C81" s="371"/>
      <c r="D81" s="70" t="s">
        <v>88</v>
      </c>
      <c r="E81" s="24" t="s">
        <v>7</v>
      </c>
      <c r="F81" s="24">
        <v>2</v>
      </c>
      <c r="G81" s="90">
        <v>500</v>
      </c>
      <c r="H81" s="5">
        <f>F81*G81</f>
        <v>1000</v>
      </c>
      <c r="I81" s="28">
        <f>0.006</f>
        <v>6.0000000000000001E-3</v>
      </c>
      <c r="J81" s="17"/>
    </row>
    <row r="82" spans="2:10">
      <c r="C82" s="34"/>
      <c r="D82" s="7"/>
      <c r="E82" s="3"/>
      <c r="F82" s="4"/>
      <c r="G82" s="41"/>
      <c r="H82" s="25"/>
      <c r="I82" s="26"/>
      <c r="J82" s="17"/>
    </row>
    <row r="83" spans="2:10">
      <c r="B83" s="32"/>
      <c r="C83" s="369"/>
      <c r="D83" s="20" t="s">
        <v>17</v>
      </c>
      <c r="E83" s="17"/>
      <c r="F83" s="17"/>
      <c r="G83" s="83"/>
      <c r="H83" s="84"/>
      <c r="I83" s="26"/>
      <c r="J83" s="17"/>
    </row>
    <row r="84" spans="2:10">
      <c r="B84" s="98"/>
      <c r="C84" s="369"/>
      <c r="D84" s="20" t="s">
        <v>93</v>
      </c>
      <c r="E84" s="17"/>
      <c r="F84" s="17"/>
      <c r="G84" s="83"/>
      <c r="H84" s="5"/>
      <c r="I84" s="96"/>
      <c r="J84" s="17"/>
    </row>
    <row r="85" spans="2:10" ht="70">
      <c r="B85" s="32"/>
      <c r="C85" s="369"/>
      <c r="D85" s="19" t="s">
        <v>94</v>
      </c>
      <c r="E85" s="17"/>
      <c r="F85" s="17"/>
      <c r="G85" s="83"/>
      <c r="H85" s="84"/>
      <c r="I85" s="26"/>
      <c r="J85" s="17"/>
    </row>
    <row r="86" spans="2:10" ht="28">
      <c r="B86" s="32"/>
      <c r="C86" s="369"/>
      <c r="D86" s="19" t="s">
        <v>95</v>
      </c>
      <c r="E86" s="17" t="s">
        <v>8</v>
      </c>
      <c r="F86" s="17">
        <f>3.14*1.2</f>
        <v>3.7679999999999998</v>
      </c>
      <c r="G86" s="83"/>
      <c r="H86" s="84"/>
      <c r="I86" s="26"/>
      <c r="J86" s="17"/>
    </row>
    <row r="87" spans="2:10">
      <c r="B87" s="32"/>
      <c r="C87" s="369"/>
      <c r="D87" s="19"/>
      <c r="E87" s="17"/>
      <c r="F87" s="17"/>
      <c r="G87" s="83"/>
      <c r="H87" s="84"/>
      <c r="I87" s="26"/>
      <c r="J87" s="17"/>
    </row>
    <row r="88" spans="2:10" ht="24">
      <c r="B88" s="97" t="s">
        <v>87</v>
      </c>
      <c r="C88" s="369"/>
      <c r="D88" s="20" t="s">
        <v>96</v>
      </c>
      <c r="E88" s="17" t="s">
        <v>7</v>
      </c>
      <c r="F88" s="24">
        <v>1</v>
      </c>
      <c r="G88" s="90">
        <f>4*1500</f>
        <v>6000</v>
      </c>
      <c r="H88" s="31">
        <f>F88*G88</f>
        <v>6000</v>
      </c>
      <c r="I88" s="96">
        <f>0.00036*F88</f>
        <v>3.6000000000000002E-4</v>
      </c>
      <c r="J88" s="17"/>
    </row>
    <row r="89" spans="2:10" ht="14">
      <c r="B89" s="32">
        <v>174151101</v>
      </c>
      <c r="C89" s="369"/>
      <c r="D89" s="23" t="s">
        <v>18</v>
      </c>
      <c r="E89" s="21" t="s">
        <v>8</v>
      </c>
      <c r="F89" s="24">
        <f>3.14*1.2</f>
        <v>3.7679999999999998</v>
      </c>
      <c r="G89" s="90">
        <v>143</v>
      </c>
      <c r="H89" s="31">
        <f>F89*G89</f>
        <v>538.82399999999996</v>
      </c>
      <c r="I89" s="96">
        <f>0*F89</f>
        <v>0</v>
      </c>
      <c r="J89" s="17"/>
    </row>
    <row r="90" spans="2:10" ht="14">
      <c r="B90" s="32">
        <v>58331200</v>
      </c>
      <c r="C90" s="369"/>
      <c r="D90" s="23" t="s">
        <v>97</v>
      </c>
      <c r="E90" s="21" t="s">
        <v>10</v>
      </c>
      <c r="F90" s="24">
        <f>3.768*2.7</f>
        <v>10.1736</v>
      </c>
      <c r="G90" s="90">
        <v>288</v>
      </c>
      <c r="H90" s="31">
        <f>F90*G90</f>
        <v>2929.9967999999999</v>
      </c>
      <c r="I90" s="28">
        <f>F90</f>
        <v>10.1736</v>
      </c>
      <c r="J90" s="17"/>
    </row>
    <row r="91" spans="2:10" ht="14">
      <c r="B91" s="36">
        <v>919726121</v>
      </c>
      <c r="C91" s="369"/>
      <c r="D91" s="23" t="s">
        <v>98</v>
      </c>
      <c r="E91" s="21" t="s">
        <v>4</v>
      </c>
      <c r="F91" s="24">
        <f>6.3*1.2+3.14</f>
        <v>10.7</v>
      </c>
      <c r="G91" s="90">
        <v>56</v>
      </c>
      <c r="H91" s="31">
        <f>F91*G91</f>
        <v>599.19999999999993</v>
      </c>
      <c r="I91" s="96">
        <f>0.00036*F91</f>
        <v>3.852E-3</v>
      </c>
      <c r="J91" s="17"/>
    </row>
    <row r="92" spans="2:10" ht="28">
      <c r="B92" s="32"/>
      <c r="C92" s="369"/>
      <c r="D92" s="23" t="s">
        <v>803</v>
      </c>
      <c r="E92" s="21" t="s">
        <v>7</v>
      </c>
      <c r="F92" s="24">
        <v>2</v>
      </c>
      <c r="G92" s="90">
        <f>10000</f>
        <v>10000</v>
      </c>
      <c r="H92" s="31">
        <f>F92*G92</f>
        <v>20000</v>
      </c>
      <c r="I92" s="28">
        <v>0</v>
      </c>
      <c r="J92" s="17"/>
    </row>
    <row r="93" spans="2:10">
      <c r="C93" s="34"/>
      <c r="D93" s="7"/>
      <c r="E93" s="3"/>
      <c r="F93" s="4"/>
      <c r="G93" s="41"/>
      <c r="H93" s="25"/>
      <c r="I93" s="26"/>
      <c r="J93" s="17"/>
    </row>
    <row r="94" spans="2:10">
      <c r="B94" s="32"/>
      <c r="C94" s="369"/>
      <c r="D94" s="20" t="s">
        <v>19</v>
      </c>
      <c r="E94" s="17"/>
      <c r="F94" s="17"/>
      <c r="G94" s="83"/>
      <c r="H94" s="84"/>
      <c r="I94" s="26"/>
      <c r="J94" s="17"/>
    </row>
    <row r="95" spans="2:10">
      <c r="B95" s="32"/>
      <c r="C95" s="369"/>
      <c r="D95" s="20" t="s">
        <v>99</v>
      </c>
      <c r="E95" s="17"/>
      <c r="F95" s="17"/>
      <c r="G95" s="83"/>
      <c r="H95" s="84"/>
      <c r="I95" s="26"/>
      <c r="J95" s="17"/>
    </row>
    <row r="96" spans="2:10" ht="154">
      <c r="B96" s="32"/>
      <c r="C96" s="369"/>
      <c r="D96" s="19" t="s">
        <v>20</v>
      </c>
      <c r="E96" s="17"/>
      <c r="F96" s="17"/>
      <c r="G96" s="83"/>
      <c r="H96" s="84"/>
      <c r="I96" s="26"/>
      <c r="J96" s="17"/>
    </row>
    <row r="97" spans="2:10">
      <c r="B97" s="32"/>
      <c r="C97" s="369"/>
      <c r="D97" s="19"/>
      <c r="E97" s="17"/>
      <c r="F97" s="17"/>
      <c r="G97" s="83"/>
      <c r="H97" s="84"/>
      <c r="I97" s="26"/>
      <c r="J97" s="17"/>
    </row>
    <row r="98" spans="2:10" ht="14">
      <c r="B98" s="32">
        <v>919726126</v>
      </c>
      <c r="C98" s="369"/>
      <c r="D98" s="19" t="s">
        <v>21</v>
      </c>
      <c r="E98" s="17" t="s">
        <v>4</v>
      </c>
      <c r="F98" s="17">
        <f>2.1*7.2</f>
        <v>15.120000000000001</v>
      </c>
      <c r="G98" s="83">
        <v>179</v>
      </c>
      <c r="H98" s="31">
        <f t="shared" ref="H98:H103" si="1">F98*G98</f>
        <v>2706.48</v>
      </c>
      <c r="I98" s="96">
        <f>0.00146*F98</f>
        <v>2.20752E-2</v>
      </c>
      <c r="J98" s="17"/>
    </row>
    <row r="99" spans="2:10" ht="28">
      <c r="B99" s="97" t="s">
        <v>87</v>
      </c>
      <c r="C99" s="369"/>
      <c r="D99" s="19" t="s">
        <v>22</v>
      </c>
      <c r="E99" s="17" t="s">
        <v>4</v>
      </c>
      <c r="F99" s="17">
        <f>F98</f>
        <v>15.120000000000001</v>
      </c>
      <c r="G99" s="83">
        <v>290</v>
      </c>
      <c r="H99" s="31">
        <f t="shared" si="1"/>
        <v>4384.8</v>
      </c>
      <c r="I99" s="96">
        <f>0.005*F99</f>
        <v>7.5600000000000001E-2</v>
      </c>
      <c r="J99" s="17"/>
    </row>
    <row r="100" spans="2:10" ht="28">
      <c r="B100" s="97" t="s">
        <v>87</v>
      </c>
      <c r="C100" s="369"/>
      <c r="D100" s="19" t="s">
        <v>23</v>
      </c>
      <c r="E100" s="17" t="s">
        <v>4</v>
      </c>
      <c r="F100" s="17">
        <f>F98</f>
        <v>15.120000000000001</v>
      </c>
      <c r="G100" s="83">
        <f>215+160</f>
        <v>375</v>
      </c>
      <c r="H100" s="31">
        <f t="shared" si="1"/>
        <v>5670</v>
      </c>
      <c r="I100" s="96">
        <f>0.00146*F100</f>
        <v>2.20752E-2</v>
      </c>
      <c r="J100" s="17"/>
    </row>
    <row r="101" spans="2:10" ht="24">
      <c r="B101" s="97" t="s">
        <v>87</v>
      </c>
      <c r="C101" s="369"/>
      <c r="D101" s="19" t="s">
        <v>24</v>
      </c>
      <c r="E101" s="17" t="s">
        <v>2</v>
      </c>
      <c r="F101" s="17">
        <v>8</v>
      </c>
      <c r="G101" s="83">
        <f>2300*1.155+250</f>
        <v>2906.5</v>
      </c>
      <c r="H101" s="31">
        <f t="shared" si="1"/>
        <v>23252</v>
      </c>
      <c r="I101" s="96">
        <f>0.002*F101</f>
        <v>1.6E-2</v>
      </c>
      <c r="J101" s="17"/>
    </row>
    <row r="102" spans="2:10" ht="24">
      <c r="B102" s="97" t="s">
        <v>87</v>
      </c>
      <c r="C102" s="369"/>
      <c r="D102" s="19" t="s">
        <v>25</v>
      </c>
      <c r="E102" s="17" t="s">
        <v>7</v>
      </c>
      <c r="F102" s="17">
        <v>1</v>
      </c>
      <c r="G102" s="83">
        <f>6259/1.21*1.1551+300</f>
        <v>6275.0172727272729</v>
      </c>
      <c r="H102" s="31">
        <f t="shared" si="1"/>
        <v>6275.0172727272729</v>
      </c>
      <c r="I102" s="96">
        <f>0.002*F102</f>
        <v>2E-3</v>
      </c>
      <c r="J102" s="17"/>
    </row>
    <row r="103" spans="2:10" ht="14">
      <c r="B103" s="32">
        <v>271572211</v>
      </c>
      <c r="C103" s="369"/>
      <c r="D103" s="19" t="s">
        <v>26</v>
      </c>
      <c r="E103" s="17" t="s">
        <v>8</v>
      </c>
      <c r="F103" s="17">
        <f>0.8*7.2*0.15</f>
        <v>0.8640000000000001</v>
      </c>
      <c r="G103" s="83">
        <v>1220</v>
      </c>
      <c r="H103" s="31">
        <f t="shared" si="1"/>
        <v>1054.0800000000002</v>
      </c>
      <c r="I103" s="96">
        <f>1.98*F103</f>
        <v>1.7107200000000002</v>
      </c>
      <c r="J103" s="17"/>
    </row>
    <row r="104" spans="2:10" ht="28">
      <c r="B104" s="97" t="s">
        <v>87</v>
      </c>
      <c r="C104" s="369"/>
      <c r="D104" s="19" t="s">
        <v>100</v>
      </c>
      <c r="E104" s="17" t="s">
        <v>7</v>
      </c>
      <c r="F104" s="17">
        <v>2</v>
      </c>
      <c r="G104" s="83">
        <v>1200</v>
      </c>
      <c r="H104" s="31">
        <f>F104*G104</f>
        <v>2400</v>
      </c>
      <c r="I104" s="96">
        <f>0.002*F104</f>
        <v>4.0000000000000001E-3</v>
      </c>
      <c r="J104" s="17"/>
    </row>
    <row r="105" spans="2:10" ht="42">
      <c r="B105" s="97" t="s">
        <v>87</v>
      </c>
      <c r="C105" s="369"/>
      <c r="D105" s="19" t="s">
        <v>101</v>
      </c>
      <c r="E105" s="17" t="s">
        <v>7</v>
      </c>
      <c r="F105" s="17">
        <v>2</v>
      </c>
      <c r="G105" s="83">
        <v>3000</v>
      </c>
      <c r="H105" s="31">
        <f>F105*G105</f>
        <v>6000</v>
      </c>
      <c r="I105" s="96">
        <f>0.004 *F105</f>
        <v>8.0000000000000002E-3</v>
      </c>
      <c r="J105" s="17"/>
    </row>
    <row r="106" spans="2:10">
      <c r="B106" s="32"/>
      <c r="C106" s="369"/>
      <c r="D106" s="17"/>
      <c r="E106" s="17"/>
      <c r="F106" s="17"/>
      <c r="G106" s="83"/>
      <c r="H106" s="84"/>
      <c r="I106" s="26"/>
      <c r="J106" s="17"/>
    </row>
    <row r="107" spans="2:10" ht="84">
      <c r="B107" s="97"/>
      <c r="C107" s="99" t="s">
        <v>102</v>
      </c>
      <c r="D107" s="19" t="s">
        <v>103</v>
      </c>
      <c r="E107" s="17"/>
      <c r="F107" s="17"/>
      <c r="G107" s="83"/>
      <c r="H107" s="84"/>
      <c r="I107" s="26"/>
      <c r="J107" s="17"/>
    </row>
    <row r="108" spans="2:10">
      <c r="B108" s="32"/>
      <c r="C108" s="369"/>
      <c r="D108" s="19"/>
      <c r="E108" s="17"/>
      <c r="F108" s="17"/>
      <c r="G108" s="83"/>
      <c r="H108" s="84"/>
      <c r="I108" s="26"/>
      <c r="J108" s="17"/>
    </row>
    <row r="109" spans="2:10" ht="98">
      <c r="B109" s="97" t="s">
        <v>87</v>
      </c>
      <c r="C109" s="369"/>
      <c r="D109" s="19" t="s">
        <v>804</v>
      </c>
      <c r="E109" s="17" t="s">
        <v>8</v>
      </c>
      <c r="F109" s="17">
        <f>3.14*0.463*0.463*0.85</f>
        <v>0.57215086100000001</v>
      </c>
      <c r="G109" s="83">
        <v>35000</v>
      </c>
      <c r="H109" s="84">
        <f>F109*G109</f>
        <v>20025.280135000001</v>
      </c>
      <c r="I109" s="26">
        <f>2.4*F109</f>
        <v>1.3731620663999999</v>
      </c>
      <c r="J109" s="17"/>
    </row>
    <row r="110" spans="2:10">
      <c r="B110" s="32"/>
      <c r="C110" s="369"/>
      <c r="D110" s="19"/>
      <c r="E110" s="17"/>
      <c r="F110" s="17"/>
      <c r="G110" s="83"/>
      <c r="H110" s="84"/>
      <c r="I110" s="26"/>
      <c r="J110" s="17"/>
    </row>
    <row r="111" spans="2:10" ht="28">
      <c r="B111" s="97" t="s">
        <v>87</v>
      </c>
      <c r="C111" s="369"/>
      <c r="D111" s="19" t="s">
        <v>805</v>
      </c>
      <c r="E111" s="17" t="s">
        <v>8</v>
      </c>
      <c r="F111" s="17">
        <f>3.14*1*0.75*0.14</f>
        <v>0.32970000000000005</v>
      </c>
      <c r="G111" s="100">
        <v>10000</v>
      </c>
      <c r="H111" s="84">
        <f>F111*G111</f>
        <v>3297.0000000000005</v>
      </c>
      <c r="I111" s="26">
        <f>2.4*F111</f>
        <v>0.79128000000000009</v>
      </c>
      <c r="J111" s="17"/>
    </row>
    <row r="112" spans="2:10" ht="28">
      <c r="B112" s="97" t="s">
        <v>87</v>
      </c>
      <c r="C112" s="369"/>
      <c r="D112" s="19" t="s">
        <v>104</v>
      </c>
      <c r="E112" s="17" t="s">
        <v>7</v>
      </c>
      <c r="F112" s="17">
        <v>1</v>
      </c>
      <c r="G112" s="83">
        <f>23000/1.21*1.1551+1200</f>
        <v>23156.446280991739</v>
      </c>
      <c r="H112" s="84">
        <f t="shared" ref="H112:H117" si="2">F112*G112</f>
        <v>23156.446280991739</v>
      </c>
      <c r="I112" s="26">
        <f>0.025*F112</f>
        <v>2.5000000000000001E-2</v>
      </c>
      <c r="J112" s="17"/>
    </row>
    <row r="113" spans="2:10" ht="28">
      <c r="B113" s="97" t="s">
        <v>87</v>
      </c>
      <c r="C113" s="369"/>
      <c r="D113" s="19" t="s">
        <v>27</v>
      </c>
      <c r="E113" s="17" t="s">
        <v>4</v>
      </c>
      <c r="F113" s="17">
        <f>3.14*1*0.75</f>
        <v>2.355</v>
      </c>
      <c r="G113" s="83">
        <v>450</v>
      </c>
      <c r="H113" s="84">
        <f t="shared" si="2"/>
        <v>1059.75</v>
      </c>
      <c r="I113" s="26">
        <f>0.003*F113</f>
        <v>7.0650000000000001E-3</v>
      </c>
      <c r="J113" s="17"/>
    </row>
    <row r="114" spans="2:10" ht="28">
      <c r="B114" s="97" t="s">
        <v>87</v>
      </c>
      <c r="C114" s="369"/>
      <c r="D114" s="19" t="s">
        <v>806</v>
      </c>
      <c r="E114" s="17" t="s">
        <v>2</v>
      </c>
      <c r="F114" s="17">
        <v>2</v>
      </c>
      <c r="G114" s="83">
        <v>1500</v>
      </c>
      <c r="H114" s="84">
        <f t="shared" si="2"/>
        <v>3000</v>
      </c>
      <c r="I114" s="26">
        <f>0.005*F114</f>
        <v>0.01</v>
      </c>
      <c r="J114" s="17"/>
    </row>
    <row r="115" spans="2:10" ht="28">
      <c r="B115" s="97" t="s">
        <v>87</v>
      </c>
      <c r="C115" s="369"/>
      <c r="D115" s="19" t="s">
        <v>807</v>
      </c>
      <c r="E115" s="17" t="s">
        <v>7</v>
      </c>
      <c r="F115" s="17">
        <v>1</v>
      </c>
      <c r="G115" s="83">
        <v>3800</v>
      </c>
      <c r="H115" s="84">
        <f t="shared" si="2"/>
        <v>3800</v>
      </c>
      <c r="I115" s="26">
        <f>2.7*0.5*0.5*0.5</f>
        <v>0.33750000000000002</v>
      </c>
      <c r="J115" s="17"/>
    </row>
    <row r="116" spans="2:10" ht="28">
      <c r="B116" s="97" t="s">
        <v>87</v>
      </c>
      <c r="C116" s="369"/>
      <c r="D116" s="19" t="s">
        <v>105</v>
      </c>
      <c r="E116" s="17" t="s">
        <v>8</v>
      </c>
      <c r="F116" s="17">
        <f>3.14*0.46*0.46*0.9</f>
        <v>0.59798160000000011</v>
      </c>
      <c r="G116" s="83">
        <v>6000</v>
      </c>
      <c r="H116" s="84">
        <f t="shared" si="2"/>
        <v>3587.8896000000009</v>
      </c>
      <c r="I116" s="26">
        <f>2.4*F116</f>
        <v>1.4351558400000002</v>
      </c>
      <c r="J116" s="17"/>
    </row>
    <row r="117" spans="2:10" ht="28">
      <c r="B117" s="97" t="s">
        <v>106</v>
      </c>
      <c r="C117" s="369"/>
      <c r="D117" s="19" t="s">
        <v>28</v>
      </c>
      <c r="E117" s="17" t="s">
        <v>4</v>
      </c>
      <c r="F117" s="17">
        <f>5.4*0.4</f>
        <v>2.16</v>
      </c>
      <c r="G117" s="83">
        <v>323</v>
      </c>
      <c r="H117" s="84">
        <f t="shared" si="2"/>
        <v>697.68000000000006</v>
      </c>
      <c r="I117" s="26">
        <f>0.1837*F117</f>
        <v>0.39679200000000003</v>
      </c>
      <c r="J117" s="17"/>
    </row>
    <row r="118" spans="2:10">
      <c r="B118" s="32"/>
      <c r="C118" s="369"/>
      <c r="D118" s="19"/>
      <c r="E118" s="17"/>
      <c r="F118" s="17"/>
      <c r="G118" s="83"/>
      <c r="H118" s="84"/>
      <c r="I118" s="26"/>
      <c r="J118" s="17"/>
    </row>
    <row r="119" spans="2:10">
      <c r="B119" s="38"/>
      <c r="C119" s="369"/>
      <c r="D119" s="11" t="s">
        <v>30</v>
      </c>
      <c r="E119" s="11" t="s">
        <v>1</v>
      </c>
      <c r="F119" s="12">
        <v>42</v>
      </c>
      <c r="G119" s="101">
        <v>813</v>
      </c>
      <c r="H119" s="10">
        <f>F119*G119</f>
        <v>34146</v>
      </c>
      <c r="I119" s="29"/>
      <c r="J119" s="17"/>
    </row>
    <row r="120" spans="2:10" ht="14">
      <c r="B120" s="39"/>
      <c r="C120" s="369"/>
      <c r="D120" s="13" t="s">
        <v>31</v>
      </c>
      <c r="E120" s="13" t="s">
        <v>7</v>
      </c>
      <c r="F120" s="14">
        <v>1</v>
      </c>
      <c r="G120" s="102">
        <v>65000</v>
      </c>
      <c r="H120" s="15">
        <f>F120*G120</f>
        <v>65000</v>
      </c>
      <c r="I120" s="29"/>
      <c r="J120" s="17"/>
    </row>
    <row r="121" spans="2:10" ht="14">
      <c r="B121" s="39"/>
      <c r="C121" s="369"/>
      <c r="D121" s="13" t="s">
        <v>32</v>
      </c>
      <c r="E121" s="13" t="s">
        <v>7</v>
      </c>
      <c r="F121" s="16">
        <v>1</v>
      </c>
      <c r="G121" s="102">
        <v>20000</v>
      </c>
      <c r="H121" s="15">
        <f>F121*G121</f>
        <v>20000</v>
      </c>
      <c r="I121" s="29"/>
      <c r="J121" s="17"/>
    </row>
    <row r="122" spans="2:10">
      <c r="B122" s="32"/>
      <c r="C122" s="369"/>
      <c r="D122" s="19"/>
      <c r="E122" s="17"/>
      <c r="F122" s="17"/>
      <c r="G122" s="83"/>
      <c r="H122" s="31"/>
      <c r="I122" s="96"/>
      <c r="J122" s="17"/>
    </row>
    <row r="123" spans="2:10" ht="14">
      <c r="B123" s="32"/>
      <c r="C123" s="369"/>
      <c r="D123" s="103" t="s">
        <v>107</v>
      </c>
      <c r="E123" s="81" t="s">
        <v>48</v>
      </c>
      <c r="F123" s="81" t="s">
        <v>60</v>
      </c>
      <c r="G123" s="130"/>
      <c r="H123" s="131">
        <f>SUM(H125:H191)</f>
        <v>488437.09685000009</v>
      </c>
      <c r="I123" s="131">
        <f>SUM(I125:I191)</f>
        <v>163.19083350000002</v>
      </c>
      <c r="J123" s="17"/>
    </row>
    <row r="124" spans="2:10">
      <c r="B124" s="32"/>
      <c r="C124" s="369"/>
      <c r="D124" s="19"/>
      <c r="E124" s="17"/>
      <c r="F124" s="17"/>
      <c r="G124" s="83"/>
      <c r="H124" s="31"/>
      <c r="I124" s="96"/>
      <c r="J124" s="17"/>
    </row>
    <row r="125" spans="2:10" ht="98">
      <c r="D125" s="19" t="s">
        <v>3</v>
      </c>
      <c r="E125" s="17" t="s">
        <v>4</v>
      </c>
      <c r="F125" s="17">
        <v>108</v>
      </c>
      <c r="G125" s="40">
        <v>464</v>
      </c>
      <c r="H125" s="17">
        <f>F125*G125</f>
        <v>50112</v>
      </c>
      <c r="I125" s="26"/>
      <c r="J125" s="17"/>
    </row>
    <row r="126" spans="2:10">
      <c r="D126" s="17"/>
      <c r="E126" s="17"/>
      <c r="F126" s="17"/>
      <c r="G126" s="40"/>
      <c r="H126" s="17"/>
      <c r="I126" s="26"/>
      <c r="J126" s="17"/>
    </row>
    <row r="127" spans="2:10" ht="84">
      <c r="D127" s="19" t="s">
        <v>5</v>
      </c>
      <c r="E127" s="17" t="s">
        <v>4</v>
      </c>
      <c r="F127" s="17">
        <v>108</v>
      </c>
      <c r="G127" s="40">
        <v>464</v>
      </c>
      <c r="H127" s="17">
        <f>F127*G127</f>
        <v>50112</v>
      </c>
      <c r="I127" s="26"/>
      <c r="J127" s="17"/>
    </row>
    <row r="128" spans="2:10" ht="42">
      <c r="D128" s="19" t="s">
        <v>6</v>
      </c>
      <c r="E128" s="17" t="s">
        <v>4</v>
      </c>
      <c r="F128" s="17">
        <v>235</v>
      </c>
      <c r="G128" s="40">
        <v>146</v>
      </c>
      <c r="H128" s="17">
        <f>F128*G128</f>
        <v>34310</v>
      </c>
      <c r="I128" s="26"/>
      <c r="J128" s="17"/>
    </row>
    <row r="129" spans="2:10" ht="126">
      <c r="D129" s="19" t="s">
        <v>808</v>
      </c>
      <c r="E129" s="17" t="s">
        <v>7</v>
      </c>
      <c r="F129" s="17">
        <v>15</v>
      </c>
      <c r="G129" s="40">
        <v>3849</v>
      </c>
      <c r="H129" s="17">
        <f>F129*G129</f>
        <v>57735</v>
      </c>
      <c r="I129" s="26"/>
      <c r="J129" s="17"/>
    </row>
    <row r="130" spans="2:10">
      <c r="D130" s="19"/>
      <c r="E130" s="17"/>
      <c r="F130" s="17"/>
      <c r="G130" s="40"/>
      <c r="H130" s="17"/>
      <c r="I130" s="26"/>
      <c r="J130" s="17"/>
    </row>
    <row r="131" spans="2:10" ht="140">
      <c r="D131" s="19" t="s">
        <v>809</v>
      </c>
      <c r="E131" s="17" t="s">
        <v>7</v>
      </c>
      <c r="F131" s="17">
        <v>15</v>
      </c>
      <c r="G131" s="40">
        <v>3849</v>
      </c>
      <c r="H131" s="17">
        <f>H129</f>
        <v>57735</v>
      </c>
      <c r="I131" s="26"/>
      <c r="J131" s="17"/>
    </row>
    <row r="132" spans="2:10">
      <c r="B132" s="44"/>
      <c r="C132" s="372"/>
      <c r="D132" s="20" t="s">
        <v>108</v>
      </c>
      <c r="E132" s="17"/>
      <c r="F132" s="24"/>
      <c r="G132" s="90"/>
      <c r="H132" s="25"/>
      <c r="I132" s="28"/>
      <c r="J132" s="17"/>
    </row>
    <row r="133" spans="2:10" ht="24">
      <c r="B133" s="104" t="s">
        <v>36</v>
      </c>
      <c r="C133" s="372"/>
      <c r="D133" s="105" t="s">
        <v>109</v>
      </c>
      <c r="E133" s="17" t="s">
        <v>4</v>
      </c>
      <c r="F133" s="24">
        <v>52.95</v>
      </c>
      <c r="G133" s="90">
        <f>99.7+633</f>
        <v>732.7</v>
      </c>
      <c r="H133" s="25">
        <f>F133*G133</f>
        <v>38796.465000000004</v>
      </c>
      <c r="I133" s="28">
        <f>0.281*F133</f>
        <v>14.878950000000001</v>
      </c>
      <c r="J133" s="17"/>
    </row>
    <row r="134" spans="2:10" ht="28">
      <c r="B134" s="35"/>
      <c r="C134" s="372"/>
      <c r="D134" s="70" t="s">
        <v>110</v>
      </c>
      <c r="E134" s="17"/>
      <c r="F134" s="17"/>
      <c r="G134" s="83"/>
      <c r="H134" s="84"/>
      <c r="I134" s="26"/>
      <c r="J134" s="17"/>
    </row>
    <row r="135" spans="2:10">
      <c r="B135" s="36"/>
      <c r="C135" s="372"/>
      <c r="D135" s="17"/>
      <c r="E135" s="17"/>
      <c r="F135" s="17"/>
      <c r="G135" s="83"/>
      <c r="H135" s="84"/>
      <c r="I135" s="26"/>
      <c r="J135" s="17"/>
    </row>
    <row r="136" spans="2:10" ht="28">
      <c r="B136" s="104" t="s">
        <v>111</v>
      </c>
      <c r="C136" s="372"/>
      <c r="D136" s="106" t="s">
        <v>112</v>
      </c>
      <c r="E136" s="17" t="s">
        <v>4</v>
      </c>
      <c r="F136" s="17">
        <f>F133</f>
        <v>52.95</v>
      </c>
      <c r="G136" s="90">
        <f>55.8+186</f>
        <v>241.8</v>
      </c>
      <c r="H136" s="25">
        <f>F136*G136</f>
        <v>12803.310000000001</v>
      </c>
      <c r="I136" s="28">
        <f>0.345*F136</f>
        <v>18.267749999999999</v>
      </c>
      <c r="J136" s="17"/>
    </row>
    <row r="137" spans="2:10">
      <c r="B137" s="36"/>
      <c r="C137" s="372"/>
      <c r="D137" s="24" t="s">
        <v>113</v>
      </c>
      <c r="E137" s="17" t="s">
        <v>4</v>
      </c>
      <c r="F137" s="17">
        <f>F133</f>
        <v>52.95</v>
      </c>
      <c r="G137" s="90">
        <f>2+4</f>
        <v>6</v>
      </c>
      <c r="H137" s="25">
        <f>F137*G137</f>
        <v>317.70000000000005</v>
      </c>
      <c r="I137" s="28">
        <f>0.0005*F137</f>
        <v>2.6475000000000002E-2</v>
      </c>
      <c r="J137" s="17"/>
    </row>
    <row r="138" spans="2:10" ht="28">
      <c r="B138" s="107">
        <v>919726203</v>
      </c>
      <c r="C138" s="372"/>
      <c r="D138" s="70" t="s">
        <v>114</v>
      </c>
      <c r="E138" s="17" t="s">
        <v>4</v>
      </c>
      <c r="F138" s="17">
        <v>52.95</v>
      </c>
      <c r="G138" s="90">
        <v>84.3</v>
      </c>
      <c r="H138" s="25">
        <f>F138*G138</f>
        <v>4463.6850000000004</v>
      </c>
      <c r="I138" s="28">
        <f>0.00048*F138</f>
        <v>2.5416000000000001E-2</v>
      </c>
      <c r="J138" s="17"/>
    </row>
    <row r="139" spans="2:10">
      <c r="B139" s="36"/>
      <c r="C139" s="372"/>
      <c r="D139" s="70"/>
      <c r="E139" s="17"/>
      <c r="F139" s="17"/>
      <c r="G139" s="90"/>
      <c r="H139" s="25"/>
      <c r="I139" s="28"/>
      <c r="J139" s="17"/>
    </row>
    <row r="140" spans="2:10">
      <c r="B140" s="36"/>
      <c r="C140" s="372"/>
      <c r="D140" s="20" t="s">
        <v>115</v>
      </c>
      <c r="E140" s="17"/>
      <c r="F140" s="17"/>
      <c r="G140" s="90"/>
      <c r="H140" s="84"/>
      <c r="I140" s="26"/>
      <c r="J140" s="17"/>
    </row>
    <row r="141" spans="2:10" ht="24">
      <c r="B141" s="108" t="s">
        <v>37</v>
      </c>
      <c r="C141" s="372"/>
      <c r="D141" s="109" t="s">
        <v>116</v>
      </c>
      <c r="E141" s="17" t="s">
        <v>4</v>
      </c>
      <c r="F141" s="17">
        <v>40.5</v>
      </c>
      <c r="G141" s="90">
        <f>98.4+531</f>
        <v>629.4</v>
      </c>
      <c r="H141" s="25">
        <f>F141*G141</f>
        <v>25490.7</v>
      </c>
      <c r="I141" s="28">
        <f>0.235*F141</f>
        <v>9.5175000000000001</v>
      </c>
      <c r="J141" s="17"/>
    </row>
    <row r="142" spans="2:10" ht="28">
      <c r="B142" s="36"/>
      <c r="C142" s="372"/>
      <c r="D142" s="70" t="s">
        <v>117</v>
      </c>
      <c r="E142" s="17"/>
      <c r="F142" s="17"/>
      <c r="G142" s="90"/>
      <c r="H142" s="84"/>
      <c r="I142" s="26"/>
      <c r="J142" s="17"/>
    </row>
    <row r="143" spans="2:10">
      <c r="B143" s="36"/>
      <c r="C143" s="372"/>
      <c r="D143" s="17"/>
      <c r="E143" s="17"/>
      <c r="F143" s="17"/>
      <c r="G143" s="90"/>
      <c r="H143" s="84"/>
      <c r="I143" s="26"/>
      <c r="J143" s="17"/>
    </row>
    <row r="144" spans="2:10" ht="24">
      <c r="B144" s="104" t="s">
        <v>118</v>
      </c>
      <c r="C144" s="372"/>
      <c r="D144" s="110" t="s">
        <v>119</v>
      </c>
      <c r="E144" s="17" t="s">
        <v>4</v>
      </c>
      <c r="F144" s="17">
        <v>40.5</v>
      </c>
      <c r="G144" s="90">
        <f>83.1+275</f>
        <v>358.1</v>
      </c>
      <c r="H144" s="25">
        <f>F144*G144</f>
        <v>14503.050000000001</v>
      </c>
      <c r="I144" s="28">
        <f>0.537*F144</f>
        <v>21.7485</v>
      </c>
      <c r="J144" s="17"/>
    </row>
    <row r="145" spans="2:10">
      <c r="B145" s="36"/>
      <c r="C145" s="372"/>
      <c r="D145" s="111" t="s">
        <v>33</v>
      </c>
      <c r="E145" s="17"/>
      <c r="F145" s="17"/>
      <c r="G145" s="90"/>
      <c r="H145" s="84"/>
      <c r="I145" s="26"/>
      <c r="J145" s="17"/>
    </row>
    <row r="146" spans="2:10">
      <c r="B146" s="36"/>
      <c r="C146" s="372"/>
      <c r="D146" s="111" t="s">
        <v>34</v>
      </c>
      <c r="E146" s="17"/>
      <c r="F146" s="17"/>
      <c r="G146" s="90"/>
      <c r="H146" s="84"/>
      <c r="I146" s="26"/>
      <c r="J146" s="17"/>
    </row>
    <row r="147" spans="2:10">
      <c r="B147" s="107" t="s">
        <v>120</v>
      </c>
      <c r="C147" s="372"/>
      <c r="D147" s="24" t="s">
        <v>121</v>
      </c>
      <c r="E147" s="17" t="s">
        <v>4</v>
      </c>
      <c r="F147" s="17">
        <v>40.5</v>
      </c>
      <c r="G147" s="90">
        <f>2+4</f>
        <v>6</v>
      </c>
      <c r="H147" s="25">
        <f>F147*G147</f>
        <v>243</v>
      </c>
      <c r="I147" s="28">
        <f>0.0005*F147</f>
        <v>2.0250000000000001E-2</v>
      </c>
      <c r="J147" s="17"/>
    </row>
    <row r="148" spans="2:10" ht="28">
      <c r="B148" s="36"/>
      <c r="C148" s="372"/>
      <c r="D148" s="70" t="s">
        <v>114</v>
      </c>
      <c r="E148" s="17" t="s">
        <v>4</v>
      </c>
      <c r="F148" s="17">
        <v>40.5</v>
      </c>
      <c r="G148" s="90">
        <v>84.3</v>
      </c>
      <c r="H148" s="25">
        <f>F148*G148</f>
        <v>3414.15</v>
      </c>
      <c r="I148" s="28">
        <f>0.00048*F148</f>
        <v>1.9439999999999999E-2</v>
      </c>
      <c r="J148" s="17"/>
    </row>
    <row r="149" spans="2:10">
      <c r="B149" s="36"/>
      <c r="C149" s="372"/>
      <c r="D149" s="21"/>
      <c r="E149" s="17"/>
      <c r="F149" s="17"/>
      <c r="G149" s="90"/>
      <c r="H149" s="84"/>
      <c r="I149" s="26"/>
      <c r="J149" s="17"/>
    </row>
    <row r="150" spans="2:10">
      <c r="B150" s="36"/>
      <c r="C150" s="372"/>
      <c r="D150" s="20" t="s">
        <v>122</v>
      </c>
      <c r="E150" s="17"/>
      <c r="F150" s="17"/>
      <c r="G150" s="90"/>
      <c r="H150" s="84"/>
      <c r="I150" s="26"/>
      <c r="J150" s="17"/>
    </row>
    <row r="151" spans="2:10" ht="24">
      <c r="B151" s="108" t="s">
        <v>37</v>
      </c>
      <c r="C151" s="372"/>
      <c r="D151" s="112" t="s">
        <v>123</v>
      </c>
      <c r="E151" s="17" t="s">
        <v>4</v>
      </c>
      <c r="F151" s="17">
        <v>20.9</v>
      </c>
      <c r="G151" s="90">
        <f>98.4+531</f>
        <v>629.4</v>
      </c>
      <c r="H151" s="25">
        <f>F151*G151</f>
        <v>13154.46</v>
      </c>
      <c r="I151" s="28">
        <f>0.235*F151</f>
        <v>4.9114999999999993</v>
      </c>
      <c r="J151" s="17"/>
    </row>
    <row r="152" spans="2:10" ht="28">
      <c r="B152" s="32"/>
      <c r="C152" s="372"/>
      <c r="D152" s="70" t="s">
        <v>124</v>
      </c>
      <c r="E152" s="17"/>
      <c r="F152" s="17"/>
      <c r="G152" s="90"/>
      <c r="H152" s="84"/>
      <c r="I152" s="26"/>
      <c r="J152" s="17"/>
    </row>
    <row r="153" spans="2:10">
      <c r="B153" s="32"/>
      <c r="C153" s="372"/>
      <c r="D153" s="17"/>
      <c r="E153" s="17"/>
      <c r="F153" s="17"/>
      <c r="G153" s="90"/>
      <c r="H153" s="84"/>
      <c r="I153" s="26"/>
      <c r="J153" s="17"/>
    </row>
    <row r="154" spans="2:10" ht="24">
      <c r="B154" s="104" t="s">
        <v>118</v>
      </c>
      <c r="C154" s="372"/>
      <c r="D154" s="110" t="s">
        <v>119</v>
      </c>
      <c r="E154" s="17" t="s">
        <v>4</v>
      </c>
      <c r="F154" s="17">
        <v>20.5</v>
      </c>
      <c r="G154" s="90">
        <f>83.1+275</f>
        <v>358.1</v>
      </c>
      <c r="H154" s="25">
        <f>F154*G154</f>
        <v>7341.05</v>
      </c>
      <c r="I154" s="28">
        <f>0.537*F154</f>
        <v>11.008500000000002</v>
      </c>
      <c r="J154" s="17"/>
    </row>
    <row r="155" spans="2:10">
      <c r="B155" s="32"/>
      <c r="C155" s="372"/>
      <c r="D155" s="111" t="s">
        <v>33</v>
      </c>
      <c r="E155" s="17"/>
      <c r="F155" s="17"/>
      <c r="G155" s="90"/>
      <c r="H155" s="84"/>
      <c r="I155" s="26"/>
      <c r="J155" s="17"/>
    </row>
    <row r="156" spans="2:10">
      <c r="B156" s="32"/>
      <c r="C156" s="372"/>
      <c r="D156" s="111" t="s">
        <v>34</v>
      </c>
      <c r="E156" s="17"/>
      <c r="F156" s="17"/>
      <c r="G156" s="90"/>
      <c r="H156" s="84"/>
      <c r="I156" s="26"/>
      <c r="J156" s="17"/>
    </row>
    <row r="157" spans="2:10">
      <c r="B157" s="36"/>
      <c r="C157" s="372"/>
      <c r="D157" s="24" t="s">
        <v>121</v>
      </c>
      <c r="E157" s="17" t="s">
        <v>4</v>
      </c>
      <c r="F157" s="17">
        <v>20.5</v>
      </c>
      <c r="G157" s="90">
        <f>2+4</f>
        <v>6</v>
      </c>
      <c r="H157" s="25">
        <f>F157*G157</f>
        <v>123</v>
      </c>
      <c r="I157" s="28">
        <f>0.0005*F157</f>
        <v>1.025E-2</v>
      </c>
      <c r="J157" s="17"/>
    </row>
    <row r="158" spans="2:10" ht="28">
      <c r="B158" s="107" t="s">
        <v>120</v>
      </c>
      <c r="C158" s="372"/>
      <c r="D158" s="70" t="s">
        <v>114</v>
      </c>
      <c r="E158" s="17" t="s">
        <v>4</v>
      </c>
      <c r="F158" s="17">
        <v>20.5</v>
      </c>
      <c r="G158" s="90">
        <v>84.3</v>
      </c>
      <c r="H158" s="25">
        <f>F158*G158</f>
        <v>1728.1499999999999</v>
      </c>
      <c r="I158" s="28">
        <f>0.00048*F158</f>
        <v>9.8399999999999998E-3</v>
      </c>
      <c r="J158" s="17"/>
    </row>
    <row r="159" spans="2:10">
      <c r="B159" s="36"/>
      <c r="C159" s="372"/>
      <c r="D159" s="70"/>
      <c r="E159" s="17"/>
      <c r="F159" s="17"/>
      <c r="G159" s="90"/>
      <c r="H159" s="25"/>
      <c r="I159" s="28"/>
      <c r="J159" s="17"/>
    </row>
    <row r="160" spans="2:10">
      <c r="B160" s="32"/>
      <c r="C160" s="372"/>
      <c r="D160" s="20" t="s">
        <v>125</v>
      </c>
      <c r="E160" s="17"/>
      <c r="F160" s="17"/>
      <c r="G160" s="90"/>
      <c r="H160" s="84"/>
      <c r="I160" s="26"/>
      <c r="J160" s="17"/>
    </row>
    <row r="161" spans="2:10" ht="24">
      <c r="B161" s="108" t="s">
        <v>126</v>
      </c>
      <c r="C161" s="372"/>
      <c r="D161" s="113" t="s">
        <v>127</v>
      </c>
      <c r="E161" s="17" t="s">
        <v>4</v>
      </c>
      <c r="F161" s="17">
        <v>43.4</v>
      </c>
      <c r="G161" s="90">
        <v>116</v>
      </c>
      <c r="H161" s="25">
        <f>F161*G161</f>
        <v>5034.3999999999996</v>
      </c>
      <c r="I161" s="28">
        <f>0.235*F161</f>
        <v>10.199</v>
      </c>
      <c r="J161" s="17"/>
    </row>
    <row r="162" spans="2:10" ht="28">
      <c r="B162" s="32"/>
      <c r="C162" s="372"/>
      <c r="D162" s="70" t="s">
        <v>128</v>
      </c>
      <c r="E162" s="17"/>
      <c r="F162" s="17"/>
      <c r="G162" s="90"/>
      <c r="H162" s="71"/>
      <c r="I162" s="28"/>
      <c r="J162" s="17"/>
    </row>
    <row r="163" spans="2:10">
      <c r="B163" s="32"/>
      <c r="C163" s="372"/>
      <c r="D163" s="17"/>
      <c r="E163" s="17"/>
      <c r="F163" s="17"/>
      <c r="G163" s="90"/>
      <c r="H163" s="71"/>
      <c r="I163" s="28"/>
      <c r="J163" s="17"/>
    </row>
    <row r="164" spans="2:10" ht="24">
      <c r="B164" s="108" t="s">
        <v>126</v>
      </c>
      <c r="C164" s="372"/>
      <c r="D164" s="110" t="s">
        <v>129</v>
      </c>
      <c r="E164" s="17" t="s">
        <v>4</v>
      </c>
      <c r="F164" s="17">
        <f>F161</f>
        <v>43.4</v>
      </c>
      <c r="G164" s="90">
        <f>113+(385+62.5)</f>
        <v>560.5</v>
      </c>
      <c r="H164" s="71"/>
      <c r="I164" s="28">
        <f>0.62*F164</f>
        <v>26.907999999999998</v>
      </c>
      <c r="J164" s="17"/>
    </row>
    <row r="165" spans="2:10">
      <c r="B165" s="32"/>
      <c r="C165" s="372"/>
      <c r="D165" s="111" t="s">
        <v>11</v>
      </c>
      <c r="E165" s="17"/>
      <c r="F165" s="17"/>
      <c r="G165" s="90"/>
      <c r="H165" s="71"/>
      <c r="I165" s="28"/>
      <c r="J165" s="17"/>
    </row>
    <row r="166" spans="2:10">
      <c r="B166" s="32"/>
      <c r="C166" s="372"/>
      <c r="D166" s="111"/>
      <c r="E166" s="17"/>
      <c r="F166" s="17"/>
      <c r="G166" s="90"/>
      <c r="H166" s="71"/>
      <c r="I166" s="28"/>
      <c r="J166" s="17"/>
    </row>
    <row r="167" spans="2:10">
      <c r="B167" s="107" t="s">
        <v>120</v>
      </c>
      <c r="C167" s="372"/>
      <c r="D167" s="24" t="s">
        <v>121</v>
      </c>
      <c r="E167" s="17" t="s">
        <v>4</v>
      </c>
      <c r="F167" s="17">
        <v>43.4</v>
      </c>
      <c r="G167" s="90">
        <f>2+4</f>
        <v>6</v>
      </c>
      <c r="H167" s="25">
        <f>F167*G167</f>
        <v>260.39999999999998</v>
      </c>
      <c r="I167" s="28">
        <f>0.0005*F167</f>
        <v>2.1700000000000001E-2</v>
      </c>
      <c r="J167" s="17"/>
    </row>
    <row r="168" spans="2:10" ht="28">
      <c r="B168" s="36"/>
      <c r="C168" s="372"/>
      <c r="D168" s="70" t="s">
        <v>114</v>
      </c>
      <c r="E168" s="17" t="s">
        <v>4</v>
      </c>
      <c r="F168" s="17">
        <v>43.4</v>
      </c>
      <c r="G168" s="90">
        <v>84.3</v>
      </c>
      <c r="H168" s="25">
        <f>F168*G168</f>
        <v>3658.62</v>
      </c>
      <c r="I168" s="28">
        <f>0.00048*F168</f>
        <v>2.0832E-2</v>
      </c>
      <c r="J168" s="17"/>
    </row>
    <row r="169" spans="2:10">
      <c r="B169" s="32"/>
      <c r="C169" s="372"/>
      <c r="D169" s="20"/>
      <c r="E169" s="17"/>
      <c r="F169" s="17"/>
      <c r="G169" s="90"/>
      <c r="H169" s="71"/>
      <c r="I169" s="28"/>
      <c r="J169" s="17"/>
    </row>
    <row r="170" spans="2:10" ht="14">
      <c r="B170" s="114">
        <v>979071131</v>
      </c>
      <c r="C170" s="372"/>
      <c r="D170" s="2" t="s">
        <v>130</v>
      </c>
      <c r="E170" s="3" t="s">
        <v>4</v>
      </c>
      <c r="F170" s="115">
        <f>(I133+I141+I151+I161)</f>
        <v>39.506950000000003</v>
      </c>
      <c r="G170" s="90">
        <v>103</v>
      </c>
      <c r="H170" s="31">
        <f>F170*G170</f>
        <v>4069.2158500000005</v>
      </c>
      <c r="I170" s="28">
        <f>0*F170</f>
        <v>0</v>
      </c>
      <c r="J170" s="17"/>
    </row>
    <row r="171" spans="2:10" ht="28">
      <c r="B171" s="114" t="s">
        <v>131</v>
      </c>
      <c r="C171" s="372"/>
      <c r="D171" s="2" t="s">
        <v>132</v>
      </c>
      <c r="E171" s="3" t="s">
        <v>10</v>
      </c>
      <c r="F171" s="71">
        <f>(14.88+9.52+4.91+10.2)*2</f>
        <v>79.02</v>
      </c>
      <c r="G171" s="90">
        <v>184</v>
      </c>
      <c r="H171" s="31">
        <f>F171*G171</f>
        <v>14539.679999999998</v>
      </c>
      <c r="I171" s="28">
        <f>0*F171</f>
        <v>0</v>
      </c>
      <c r="J171" s="17"/>
    </row>
    <row r="172" spans="2:10" ht="28">
      <c r="B172" s="87" t="s">
        <v>133</v>
      </c>
      <c r="C172" s="372"/>
      <c r="D172" s="7" t="s">
        <v>134</v>
      </c>
      <c r="E172" s="3" t="s">
        <v>10</v>
      </c>
      <c r="F172" s="4">
        <f>(18.27+21.75+11.01+26.91) *2</f>
        <v>155.88</v>
      </c>
      <c r="G172" s="90">
        <v>47.4</v>
      </c>
      <c r="H172" s="31">
        <f>F172*G172</f>
        <v>7388.7119999999995</v>
      </c>
      <c r="I172" s="28">
        <v>0</v>
      </c>
      <c r="J172" s="17"/>
    </row>
    <row r="173" spans="2:10">
      <c r="B173" s="32"/>
      <c r="C173" s="372"/>
      <c r="D173" s="94"/>
      <c r="E173" s="17"/>
      <c r="F173" s="17"/>
      <c r="G173" s="83"/>
      <c r="H173" s="84"/>
      <c r="I173" s="26"/>
      <c r="J173" s="17"/>
    </row>
    <row r="174" spans="2:10" ht="28">
      <c r="B174" s="116">
        <v>963022819</v>
      </c>
      <c r="C174" s="372"/>
      <c r="D174" s="19" t="s">
        <v>135</v>
      </c>
      <c r="E174" s="17" t="s">
        <v>15</v>
      </c>
      <c r="F174" s="17">
        <f>4.46*8</f>
        <v>35.68</v>
      </c>
      <c r="G174" s="83">
        <v>110</v>
      </c>
      <c r="H174" s="31">
        <f>F174*G174</f>
        <v>3924.8</v>
      </c>
      <c r="I174" s="28">
        <f>0.112*F174</f>
        <v>3.9961600000000002</v>
      </c>
      <c r="J174" s="17"/>
    </row>
    <row r="175" spans="2:10">
      <c r="B175" s="117"/>
      <c r="C175" s="118" t="s">
        <v>810</v>
      </c>
      <c r="D175" s="21" t="s">
        <v>12</v>
      </c>
      <c r="E175" s="17"/>
      <c r="F175" s="17"/>
      <c r="G175" s="83"/>
      <c r="H175" s="84"/>
      <c r="I175" s="26"/>
      <c r="J175" s="17"/>
    </row>
    <row r="176" spans="2:10" ht="14">
      <c r="B176" s="119">
        <v>961044111</v>
      </c>
      <c r="C176" s="373"/>
      <c r="D176" s="120" t="s">
        <v>136</v>
      </c>
      <c r="E176" s="111" t="s">
        <v>8</v>
      </c>
      <c r="F176" s="111">
        <f>0.25*2*4.41</f>
        <v>2.2050000000000001</v>
      </c>
      <c r="G176" s="121">
        <v>3730</v>
      </c>
      <c r="H176" s="122">
        <f>F176*G176</f>
        <v>8224.65</v>
      </c>
      <c r="I176" s="123">
        <f>2*F176</f>
        <v>4.41</v>
      </c>
      <c r="J176" s="17"/>
    </row>
    <row r="177" spans="2:10">
      <c r="B177" s="124"/>
      <c r="C177" s="373"/>
      <c r="D177" s="111" t="s">
        <v>13</v>
      </c>
      <c r="E177" s="111"/>
      <c r="F177" s="111"/>
      <c r="G177" s="121"/>
      <c r="H177" s="125"/>
      <c r="I177" s="123"/>
      <c r="J177" s="17"/>
    </row>
    <row r="178" spans="2:10" ht="28">
      <c r="B178" s="87" t="s">
        <v>133</v>
      </c>
      <c r="C178" s="372"/>
      <c r="D178" s="7" t="s">
        <v>137</v>
      </c>
      <c r="E178" s="3" t="s">
        <v>10</v>
      </c>
      <c r="F178" s="4">
        <v>8</v>
      </c>
      <c r="G178" s="90">
        <v>47.4</v>
      </c>
      <c r="H178" s="31">
        <f>F178*G178</f>
        <v>379.2</v>
      </c>
      <c r="I178" s="28">
        <v>0</v>
      </c>
      <c r="J178" s="17"/>
    </row>
    <row r="179" spans="2:10" ht="14">
      <c r="B179" s="87">
        <v>997221561</v>
      </c>
      <c r="C179" s="372"/>
      <c r="D179" s="7" t="s">
        <v>138</v>
      </c>
      <c r="E179" s="3" t="s">
        <v>10</v>
      </c>
      <c r="F179" s="126">
        <v>4.41</v>
      </c>
      <c r="G179" s="90">
        <f>14.5*19</f>
        <v>275.5</v>
      </c>
      <c r="H179" s="31">
        <f>F179*G179</f>
        <v>1214.9549999999999</v>
      </c>
      <c r="I179" s="28">
        <v>0</v>
      </c>
      <c r="J179" s="17"/>
    </row>
    <row r="180" spans="2:10" ht="15">
      <c r="B180" s="87">
        <v>997221569</v>
      </c>
      <c r="C180" s="372"/>
      <c r="D180" s="7" t="s">
        <v>139</v>
      </c>
      <c r="E180" s="3"/>
      <c r="F180" s="126"/>
      <c r="G180" s="90"/>
      <c r="H180" s="31"/>
      <c r="I180" s="28"/>
      <c r="J180" s="17"/>
    </row>
    <row r="181" spans="2:10" ht="30">
      <c r="B181" s="170">
        <v>997221615</v>
      </c>
      <c r="C181" s="372"/>
      <c r="D181" s="127" t="s">
        <v>140</v>
      </c>
      <c r="E181" s="3" t="s">
        <v>10</v>
      </c>
      <c r="F181" s="126">
        <v>4.41</v>
      </c>
      <c r="G181" s="90">
        <v>1390</v>
      </c>
      <c r="H181" s="31">
        <f>F181*G181</f>
        <v>6129.9000000000005</v>
      </c>
      <c r="I181" s="28">
        <v>0</v>
      </c>
      <c r="J181" s="17"/>
    </row>
    <row r="182" spans="2:10">
      <c r="B182" s="170">
        <v>271532211</v>
      </c>
      <c r="C182" s="373"/>
      <c r="D182" s="111" t="s">
        <v>141</v>
      </c>
      <c r="E182" s="111" t="s">
        <v>8</v>
      </c>
      <c r="F182" s="111">
        <f>0.4*4.46*0.1*8</f>
        <v>1.4272</v>
      </c>
      <c r="G182" s="121">
        <v>1700</v>
      </c>
      <c r="H182" s="31">
        <f>F182*G182</f>
        <v>2426.2400000000002</v>
      </c>
      <c r="I182" s="123">
        <f>2.16*F182</f>
        <v>3.0827520000000002</v>
      </c>
      <c r="J182" s="17"/>
    </row>
    <row r="183" spans="2:10" ht="28">
      <c r="B183" s="119">
        <v>274313811</v>
      </c>
      <c r="C183" s="373"/>
      <c r="D183" s="120" t="s">
        <v>142</v>
      </c>
      <c r="E183" s="111" t="s">
        <v>8</v>
      </c>
      <c r="F183" s="111">
        <f>F176</f>
        <v>2.2050000000000001</v>
      </c>
      <c r="G183" s="121">
        <v>3910</v>
      </c>
      <c r="H183" s="122">
        <f>F183*G183</f>
        <v>8621.5500000000011</v>
      </c>
      <c r="I183" s="123">
        <f>I176</f>
        <v>4.41</v>
      </c>
      <c r="J183" s="17"/>
    </row>
    <row r="184" spans="2:10" ht="28">
      <c r="B184" s="119" t="s">
        <v>143</v>
      </c>
      <c r="C184" s="373"/>
      <c r="D184" s="120" t="s">
        <v>144</v>
      </c>
      <c r="E184" s="111" t="s">
        <v>15</v>
      </c>
      <c r="F184" s="17">
        <f>4.46*8</f>
        <v>35.68</v>
      </c>
      <c r="G184" s="121">
        <v>693</v>
      </c>
      <c r="H184" s="122">
        <f>F184*G184</f>
        <v>24726.240000000002</v>
      </c>
      <c r="I184" s="123">
        <f>0.03465*F184</f>
        <v>1.2363120000000001</v>
      </c>
      <c r="J184" s="17"/>
    </row>
    <row r="185" spans="2:10">
      <c r="B185" s="32"/>
      <c r="C185" s="372"/>
      <c r="D185" s="20"/>
      <c r="E185" s="17"/>
      <c r="F185" s="17"/>
      <c r="G185" s="83"/>
      <c r="H185" s="84"/>
      <c r="I185" s="26"/>
      <c r="J185" s="17"/>
    </row>
    <row r="186" spans="2:10" ht="28">
      <c r="B186" s="107" t="s">
        <v>145</v>
      </c>
      <c r="C186" s="372"/>
      <c r="D186" s="70" t="s">
        <v>146</v>
      </c>
      <c r="E186" s="24" t="s">
        <v>2</v>
      </c>
      <c r="F186" s="24">
        <f>10.6+5.6+35.65</f>
        <v>51.849999999999994</v>
      </c>
      <c r="G186" s="90">
        <v>113</v>
      </c>
      <c r="H186" s="31">
        <f>F186*G186</f>
        <v>5859.0499999999993</v>
      </c>
      <c r="I186" s="28">
        <f>0.23*F186</f>
        <v>11.9255</v>
      </c>
      <c r="J186" s="17"/>
    </row>
    <row r="187" spans="2:10" ht="14">
      <c r="B187" s="116"/>
      <c r="C187" s="372"/>
      <c r="D187" s="19" t="s">
        <v>14</v>
      </c>
      <c r="E187" s="17"/>
      <c r="F187" s="17"/>
      <c r="G187" s="83"/>
      <c r="H187" s="84"/>
      <c r="I187" s="26"/>
      <c r="J187" s="17"/>
    </row>
    <row r="188" spans="2:10" ht="14">
      <c r="B188" s="107" t="s">
        <v>147</v>
      </c>
      <c r="C188" s="374"/>
      <c r="D188" s="70" t="s">
        <v>148</v>
      </c>
      <c r="E188" s="24" t="s">
        <v>7</v>
      </c>
      <c r="F188" s="128">
        <v>52</v>
      </c>
      <c r="G188" s="90">
        <v>48</v>
      </c>
      <c r="H188" s="31">
        <f>F188*G188</f>
        <v>2496</v>
      </c>
      <c r="I188" s="28">
        <f>0.15*F188</f>
        <v>7.8</v>
      </c>
      <c r="J188" s="17"/>
    </row>
    <row r="189" spans="2:10">
      <c r="B189" s="116" t="s">
        <v>149</v>
      </c>
      <c r="C189" s="372"/>
      <c r="D189" s="24" t="s">
        <v>150</v>
      </c>
      <c r="E189" s="24" t="s">
        <v>2</v>
      </c>
      <c r="F189" s="24">
        <f>F186</f>
        <v>51.849999999999994</v>
      </c>
      <c r="G189" s="90">
        <v>45</v>
      </c>
      <c r="H189" s="71"/>
      <c r="I189" s="28">
        <f>0*F189</f>
        <v>0</v>
      </c>
      <c r="J189" s="17"/>
    </row>
    <row r="190" spans="2:10" ht="28">
      <c r="B190" s="87" t="s">
        <v>133</v>
      </c>
      <c r="C190" s="372"/>
      <c r="D190" s="7" t="s">
        <v>151</v>
      </c>
      <c r="E190" s="3" t="s">
        <v>10</v>
      </c>
      <c r="F190" s="4">
        <f>11.93*2</f>
        <v>23.86</v>
      </c>
      <c r="G190" s="92">
        <v>47.4</v>
      </c>
      <c r="H190" s="5">
        <f>F190*G190</f>
        <v>1130.9639999999999</v>
      </c>
      <c r="I190" s="27">
        <v>0</v>
      </c>
      <c r="J190" s="17"/>
    </row>
    <row r="191" spans="2:10" ht="28">
      <c r="B191" s="114" t="s">
        <v>152</v>
      </c>
      <c r="C191" s="374"/>
      <c r="D191" s="70" t="s">
        <v>153</v>
      </c>
      <c r="E191" s="24"/>
      <c r="F191" s="115">
        <f>F186</f>
        <v>51.849999999999994</v>
      </c>
      <c r="G191" s="90">
        <v>308</v>
      </c>
      <c r="H191" s="31">
        <f>F191*G191</f>
        <v>15969.799999999997</v>
      </c>
      <c r="I191" s="28">
        <f>0.16849*F191</f>
        <v>8.7362064999999998</v>
      </c>
      <c r="J191" s="17"/>
    </row>
    <row r="192" spans="2:10">
      <c r="B192" s="32"/>
      <c r="C192" s="372"/>
      <c r="D192" s="17"/>
      <c r="E192" s="17"/>
      <c r="F192" s="17"/>
      <c r="G192" s="83"/>
      <c r="H192" s="84"/>
      <c r="I192" s="26"/>
      <c r="J192" s="17"/>
    </row>
    <row r="193" spans="2:10" ht="14">
      <c r="D193" s="1" t="s">
        <v>641</v>
      </c>
      <c r="E193" s="17"/>
      <c r="F193" s="17"/>
      <c r="G193" s="40"/>
      <c r="H193" s="17"/>
      <c r="I193" s="26"/>
      <c r="J193" s="17"/>
    </row>
    <row r="194" spans="2:10" ht="14">
      <c r="D194" s="1" t="s">
        <v>643</v>
      </c>
      <c r="E194" s="17"/>
      <c r="F194" s="17"/>
      <c r="G194" s="40"/>
      <c r="H194" s="17"/>
      <c r="I194" s="26"/>
      <c r="J194" s="17"/>
    </row>
    <row r="195" spans="2:10" ht="84">
      <c r="D195" s="57" t="s">
        <v>225</v>
      </c>
      <c r="E195" s="17"/>
      <c r="F195" s="17"/>
      <c r="G195" s="40"/>
      <c r="H195" s="17"/>
      <c r="I195" s="26"/>
      <c r="J195" s="17"/>
    </row>
    <row r="196" spans="2:10" ht="98">
      <c r="D196" s="183" t="s">
        <v>811</v>
      </c>
      <c r="E196" s="17"/>
      <c r="F196" s="17"/>
      <c r="G196" s="40"/>
      <c r="H196" s="17"/>
      <c r="I196" s="26"/>
      <c r="J196" s="17"/>
    </row>
    <row r="197" spans="2:10" ht="112">
      <c r="D197" s="184" t="s">
        <v>283</v>
      </c>
      <c r="E197" s="17"/>
      <c r="F197" s="17"/>
      <c r="G197" s="40"/>
      <c r="H197" s="17"/>
      <c r="I197" s="26"/>
      <c r="J197" s="17"/>
    </row>
    <row r="198" spans="2:10" ht="28">
      <c r="D198" s="185" t="s">
        <v>642</v>
      </c>
      <c r="E198" s="17"/>
      <c r="F198" s="17"/>
      <c r="G198" s="40"/>
      <c r="H198" s="17"/>
      <c r="I198" s="26"/>
      <c r="J198" s="17"/>
    </row>
    <row r="199" spans="2:10">
      <c r="D199" s="19"/>
      <c r="E199" s="17"/>
      <c r="F199" s="17"/>
      <c r="G199" s="40"/>
      <c r="H199" s="17"/>
      <c r="I199" s="26"/>
      <c r="J199" s="17"/>
    </row>
    <row r="200" spans="2:10" ht="15">
      <c r="B200" s="171"/>
      <c r="C200" s="277"/>
      <c r="D200" s="78" t="s">
        <v>233</v>
      </c>
      <c r="E200" s="76" t="s">
        <v>48</v>
      </c>
      <c r="F200" s="162" t="s">
        <v>60</v>
      </c>
      <c r="G200" s="134"/>
      <c r="H200" s="177">
        <f>SUM(H202:H216)</f>
        <v>251733.171</v>
      </c>
      <c r="I200" s="178">
        <f>SUM(I202:I216)</f>
        <v>52.260904945799993</v>
      </c>
      <c r="J200" s="17"/>
    </row>
    <row r="201" spans="2:10">
      <c r="B201" s="171"/>
      <c r="C201" s="277"/>
      <c r="D201" s="165" t="s">
        <v>154</v>
      </c>
      <c r="E201" s="45"/>
      <c r="F201" s="133"/>
      <c r="G201" s="134"/>
      <c r="H201" s="135"/>
      <c r="I201" s="136"/>
      <c r="J201" s="17"/>
    </row>
    <row r="202" spans="2:10">
      <c r="B202" s="171" t="s">
        <v>155</v>
      </c>
      <c r="C202" s="375"/>
      <c r="D202" s="138" t="s">
        <v>237</v>
      </c>
      <c r="E202" s="45" t="s">
        <v>8</v>
      </c>
      <c r="F202" s="133">
        <f>0.25*75+(2.2*1.95*0.25)</f>
        <v>19.822500000000002</v>
      </c>
      <c r="G202" s="134">
        <v>3430</v>
      </c>
      <c r="H202" s="135">
        <f>F202*G202</f>
        <v>67991.175000000003</v>
      </c>
      <c r="I202" s="136">
        <f>2.50187*F202</f>
        <v>49.593318074999999</v>
      </c>
      <c r="J202" s="17"/>
    </row>
    <row r="203" spans="2:10">
      <c r="B203" s="171"/>
      <c r="C203" s="375"/>
      <c r="D203" s="138" t="s">
        <v>156</v>
      </c>
      <c r="E203" s="45"/>
      <c r="F203" s="133"/>
      <c r="G203" s="134"/>
      <c r="H203" s="135"/>
      <c r="I203" s="136"/>
      <c r="J203" s="17"/>
    </row>
    <row r="204" spans="2:10" ht="26">
      <c r="B204" s="172" t="s">
        <v>157</v>
      </c>
      <c r="C204" s="376"/>
      <c r="D204" s="132" t="s">
        <v>235</v>
      </c>
      <c r="E204" s="139" t="s">
        <v>7</v>
      </c>
      <c r="F204" s="140">
        <v>5</v>
      </c>
      <c r="G204" s="141">
        <f>300*1.155+400+200</f>
        <v>946.5</v>
      </c>
      <c r="H204" s="142">
        <f>F204*G204</f>
        <v>4732.5</v>
      </c>
      <c r="I204" s="143">
        <f>0.005*F204</f>
        <v>2.5000000000000001E-2</v>
      </c>
      <c r="J204" s="17"/>
    </row>
    <row r="205" spans="2:10">
      <c r="B205" s="171"/>
      <c r="C205" s="377" t="s">
        <v>226</v>
      </c>
      <c r="E205" s="45"/>
      <c r="F205" s="133"/>
      <c r="G205" s="134"/>
      <c r="H205" s="135"/>
      <c r="I205" s="136"/>
      <c r="J205" s="17"/>
    </row>
    <row r="206" spans="2:10">
      <c r="B206" s="171"/>
      <c r="C206" s="375"/>
      <c r="D206" s="144"/>
      <c r="E206" s="45"/>
      <c r="F206" s="133"/>
      <c r="G206" s="134"/>
      <c r="H206" s="135"/>
      <c r="I206" s="136"/>
      <c r="J206" s="17"/>
    </row>
    <row r="207" spans="2:10" ht="14">
      <c r="B207" s="171" t="s">
        <v>158</v>
      </c>
      <c r="C207" s="376" t="s">
        <v>227</v>
      </c>
      <c r="D207" s="145" t="s">
        <v>228</v>
      </c>
      <c r="E207" s="45" t="s">
        <v>7</v>
      </c>
      <c r="F207" s="133">
        <v>9</v>
      </c>
      <c r="G207" s="141">
        <f>300*1.155+400+200</f>
        <v>946.5</v>
      </c>
      <c r="H207" s="135">
        <f>F207*G207</f>
        <v>8518.5</v>
      </c>
      <c r="I207" s="136">
        <f>0.005*F207</f>
        <v>4.4999999999999998E-2</v>
      </c>
      <c r="J207" s="17"/>
    </row>
    <row r="208" spans="2:10">
      <c r="B208" s="171"/>
      <c r="C208" s="375"/>
      <c r="D208" s="144"/>
      <c r="E208" s="45"/>
      <c r="F208" s="133"/>
      <c r="G208" s="134"/>
      <c r="H208" s="135"/>
      <c r="I208" s="136"/>
      <c r="J208" s="17"/>
    </row>
    <row r="209" spans="2:10">
      <c r="B209" s="171" t="s">
        <v>158</v>
      </c>
      <c r="C209" s="375"/>
      <c r="D209" s="144" t="s">
        <v>229</v>
      </c>
      <c r="E209" s="45" t="s">
        <v>4</v>
      </c>
      <c r="F209" s="133">
        <f xml:space="preserve"> 36*0.25</f>
        <v>9</v>
      </c>
      <c r="G209" s="134">
        <v>503</v>
      </c>
      <c r="H209" s="135">
        <f>F209*G209</f>
        <v>4527</v>
      </c>
      <c r="I209" s="136">
        <f>0.00247*F209</f>
        <v>2.223E-2</v>
      </c>
      <c r="J209" s="17"/>
    </row>
    <row r="210" spans="2:10">
      <c r="B210" s="171" t="s">
        <v>159</v>
      </c>
      <c r="C210" s="375"/>
      <c r="D210" s="138" t="s">
        <v>160</v>
      </c>
      <c r="E210" s="45" t="s">
        <v>4</v>
      </c>
      <c r="F210" s="133">
        <f>F209</f>
        <v>9</v>
      </c>
      <c r="G210" s="134">
        <v>128</v>
      </c>
      <c r="H210" s="135">
        <f>F210*G210</f>
        <v>1152</v>
      </c>
      <c r="I210" s="136">
        <f>0*F210</f>
        <v>0</v>
      </c>
      <c r="J210" s="17"/>
    </row>
    <row r="211" spans="2:10">
      <c r="B211" s="171"/>
      <c r="C211" s="375"/>
      <c r="D211" s="138" t="s">
        <v>161</v>
      </c>
      <c r="E211" s="45"/>
      <c r="F211" s="133"/>
      <c r="G211" s="134"/>
      <c r="H211" s="135"/>
      <c r="I211" s="136"/>
      <c r="J211" s="17"/>
    </row>
    <row r="212" spans="2:10" ht="26">
      <c r="B212" s="173" t="s">
        <v>162</v>
      </c>
      <c r="C212" s="378"/>
      <c r="D212" s="400" t="s">
        <v>812</v>
      </c>
      <c r="E212" s="147" t="s">
        <v>7</v>
      </c>
      <c r="F212" s="148">
        <v>3</v>
      </c>
      <c r="G212" s="149">
        <v>5000</v>
      </c>
      <c r="H212" s="150">
        <f>F212*G212</f>
        <v>15000</v>
      </c>
      <c r="I212" s="151">
        <f>0*F212</f>
        <v>0</v>
      </c>
      <c r="J212" s="17"/>
    </row>
    <row r="213" spans="2:10">
      <c r="B213" s="173"/>
      <c r="C213" s="378"/>
      <c r="D213" s="166"/>
      <c r="E213" s="147"/>
      <c r="F213" s="148"/>
      <c r="G213" s="149"/>
      <c r="H213" s="150"/>
      <c r="I213" s="151"/>
      <c r="J213" s="17"/>
    </row>
    <row r="214" spans="2:10" ht="26">
      <c r="B214" s="171" t="s">
        <v>163</v>
      </c>
      <c r="C214" s="375"/>
      <c r="D214" s="144" t="s">
        <v>230</v>
      </c>
      <c r="E214" s="45" t="s">
        <v>10</v>
      </c>
      <c r="F214" s="133">
        <v>1.0329999999999999</v>
      </c>
      <c r="G214" s="134">
        <v>62000</v>
      </c>
      <c r="H214" s="135">
        <f>F214*G214</f>
        <v>64045.999999999993</v>
      </c>
      <c r="I214" s="136">
        <f>1.06062*F214</f>
        <v>1.0956204599999999</v>
      </c>
      <c r="J214" s="17"/>
    </row>
    <row r="215" spans="2:10" ht="26">
      <c r="B215" s="171" t="s">
        <v>164</v>
      </c>
      <c r="C215" s="375"/>
      <c r="D215" s="144" t="s">
        <v>231</v>
      </c>
      <c r="E215" s="45" t="s">
        <v>10</v>
      </c>
      <c r="F215" s="133">
        <v>6.0040000000000003E-2</v>
      </c>
      <c r="G215" s="134">
        <v>49900</v>
      </c>
      <c r="H215" s="135">
        <f>F215*G215</f>
        <v>2995.9960000000001</v>
      </c>
      <c r="I215" s="136">
        <f>1.06277*F215</f>
        <v>6.3808710800000001E-2</v>
      </c>
      <c r="J215" s="17"/>
    </row>
    <row r="216" spans="2:10" ht="26">
      <c r="B216" s="171" t="s">
        <v>163</v>
      </c>
      <c r="C216" s="375"/>
      <c r="D216" s="144" t="s">
        <v>232</v>
      </c>
      <c r="E216" s="45" t="s">
        <v>10</v>
      </c>
      <c r="F216" s="133">
        <v>1.335</v>
      </c>
      <c r="G216" s="134">
        <v>62000</v>
      </c>
      <c r="H216" s="135">
        <f>F216*G216</f>
        <v>82770</v>
      </c>
      <c r="I216" s="136">
        <f>1.06062*F216</f>
        <v>1.4159276999999999</v>
      </c>
      <c r="J216" s="17"/>
    </row>
    <row r="217" spans="2:10">
      <c r="B217" s="171"/>
      <c r="C217" s="375"/>
      <c r="D217" s="144"/>
      <c r="E217" s="45"/>
      <c r="F217" s="133"/>
      <c r="G217" s="134"/>
      <c r="H217" s="135"/>
      <c r="I217" s="136"/>
      <c r="J217" s="17"/>
    </row>
    <row r="218" spans="2:10">
      <c r="B218" s="171"/>
      <c r="C218" s="375"/>
      <c r="D218" s="144"/>
      <c r="E218" s="45"/>
      <c r="F218" s="133"/>
      <c r="G218" s="134"/>
      <c r="H218" s="135"/>
      <c r="I218" s="136"/>
      <c r="J218" s="17"/>
    </row>
    <row r="219" spans="2:10" ht="15">
      <c r="B219" s="171"/>
      <c r="C219" s="375"/>
      <c r="D219" s="78" t="s">
        <v>234</v>
      </c>
      <c r="E219" s="76" t="s">
        <v>48</v>
      </c>
      <c r="F219" s="162" t="s">
        <v>60</v>
      </c>
      <c r="G219" s="134"/>
      <c r="H219" s="177">
        <f>SUM(H221:H298)</f>
        <v>771106.22605321801</v>
      </c>
      <c r="I219" s="177">
        <f>SUM(I221:I298)</f>
        <v>127.03850881921097</v>
      </c>
      <c r="J219" s="17"/>
    </row>
    <row r="220" spans="2:10" ht="14">
      <c r="B220" s="171"/>
      <c r="C220" s="375"/>
      <c r="D220" s="1" t="s">
        <v>165</v>
      </c>
      <c r="E220" s="45"/>
      <c r="F220" s="133"/>
      <c r="G220" s="134"/>
      <c r="H220" s="135"/>
      <c r="I220" s="136"/>
      <c r="J220" s="17"/>
    </row>
    <row r="221" spans="2:10">
      <c r="B221" s="171"/>
      <c r="C221" s="375"/>
      <c r="D221" s="165" t="s">
        <v>166</v>
      </c>
      <c r="E221" s="45"/>
      <c r="F221" s="133"/>
      <c r="G221" s="134"/>
      <c r="H221" s="135"/>
      <c r="I221" s="136"/>
      <c r="J221" s="17"/>
    </row>
    <row r="222" spans="2:10">
      <c r="B222" s="171" t="s">
        <v>167</v>
      </c>
      <c r="C222" s="375"/>
      <c r="D222" s="144" t="s">
        <v>238</v>
      </c>
      <c r="E222" s="45" t="s">
        <v>8</v>
      </c>
      <c r="F222" s="133">
        <f>SUM(F223:F224)</f>
        <v>14.612399999999999</v>
      </c>
      <c r="G222" s="134">
        <v>4020</v>
      </c>
      <c r="H222" s="135">
        <f>F222*G222</f>
        <v>58741.847999999998</v>
      </c>
      <c r="I222" s="136">
        <f>2.502*F222</f>
        <v>36.560224799999993</v>
      </c>
      <c r="J222" s="17"/>
    </row>
    <row r="223" spans="2:10">
      <c r="B223" s="171"/>
      <c r="C223" s="375"/>
      <c r="D223" s="144" t="s">
        <v>168</v>
      </c>
      <c r="E223" s="45"/>
      <c r="F223" s="133">
        <f>0.22*66.6</f>
        <v>14.651999999999999</v>
      </c>
      <c r="G223" s="134"/>
      <c r="H223" s="135"/>
      <c r="I223" s="136"/>
      <c r="J223" s="17"/>
    </row>
    <row r="224" spans="2:10">
      <c r="B224" s="171"/>
      <c r="C224" s="375"/>
      <c r="D224" s="144" t="s">
        <v>169</v>
      </c>
      <c r="E224" s="45"/>
      <c r="F224" s="133">
        <f>-0.9*0.2*0.22</f>
        <v>-3.9600000000000003E-2</v>
      </c>
      <c r="G224" s="134"/>
      <c r="H224" s="135"/>
      <c r="I224" s="136"/>
      <c r="J224" s="17"/>
    </row>
    <row r="225" spans="2:10" ht="26">
      <c r="B225" s="171" t="s">
        <v>236</v>
      </c>
      <c r="C225" s="375"/>
      <c r="D225" s="132" t="s">
        <v>239</v>
      </c>
      <c r="E225" s="139" t="s">
        <v>7</v>
      </c>
      <c r="F225" s="133">
        <v>11</v>
      </c>
      <c r="G225" s="134">
        <f>300*1.155+400+200</f>
        <v>946.5</v>
      </c>
      <c r="H225" s="135">
        <f>F225*G225</f>
        <v>10411.5</v>
      </c>
      <c r="I225" s="136">
        <f>0.00185*F225</f>
        <v>2.035E-2</v>
      </c>
      <c r="J225" s="17"/>
    </row>
    <row r="226" spans="2:10">
      <c r="B226" s="171"/>
      <c r="C226" s="375"/>
      <c r="D226" s="132"/>
      <c r="E226" s="139"/>
      <c r="F226" s="133"/>
      <c r="G226" s="134"/>
      <c r="H226" s="135"/>
      <c r="I226" s="136"/>
      <c r="J226" s="17"/>
    </row>
    <row r="227" spans="2:10" ht="26">
      <c r="B227" s="171" t="s">
        <v>236</v>
      </c>
      <c r="C227" s="277"/>
      <c r="D227" s="154" t="s">
        <v>240</v>
      </c>
      <c r="E227" s="45" t="s">
        <v>170</v>
      </c>
      <c r="F227" s="133">
        <v>51.2</v>
      </c>
      <c r="G227" s="134">
        <v>350</v>
      </c>
      <c r="H227" s="135">
        <f>F227*G227</f>
        <v>17920</v>
      </c>
      <c r="I227" s="136">
        <v>5.1200000000000002E-2</v>
      </c>
      <c r="J227" s="17"/>
    </row>
    <row r="228" spans="2:10">
      <c r="B228" s="171"/>
      <c r="C228" s="277">
        <v>1</v>
      </c>
      <c r="D228" s="153" t="s">
        <v>171</v>
      </c>
      <c r="E228" s="45"/>
      <c r="F228" s="133"/>
      <c r="G228" s="134"/>
      <c r="H228" s="135"/>
      <c r="I228" s="136"/>
      <c r="J228" s="17"/>
    </row>
    <row r="229" spans="2:10">
      <c r="B229" s="171"/>
      <c r="C229" s="277">
        <v>2</v>
      </c>
      <c r="D229" s="153" t="s">
        <v>172</v>
      </c>
      <c r="E229" s="45"/>
      <c r="F229" s="133"/>
      <c r="G229" s="134"/>
      <c r="H229" s="135"/>
      <c r="I229" s="136"/>
      <c r="J229" s="17"/>
    </row>
    <row r="230" spans="2:10">
      <c r="B230" s="171"/>
      <c r="C230" s="277">
        <v>3</v>
      </c>
      <c r="D230" s="153" t="s">
        <v>173</v>
      </c>
      <c r="E230" s="45"/>
      <c r="F230" s="133"/>
      <c r="G230" s="134"/>
      <c r="H230" s="135"/>
      <c r="I230" s="136"/>
      <c r="J230" s="17"/>
    </row>
    <row r="231" spans="2:10">
      <c r="B231" s="171"/>
      <c r="C231" s="277">
        <v>4</v>
      </c>
      <c r="D231" s="153" t="s">
        <v>174</v>
      </c>
      <c r="E231" s="45"/>
      <c r="F231" s="133"/>
      <c r="G231" s="134"/>
      <c r="H231" s="135"/>
      <c r="I231" s="136"/>
      <c r="J231" s="17"/>
    </row>
    <row r="232" spans="2:10">
      <c r="B232" s="171"/>
      <c r="C232" s="277"/>
      <c r="D232" s="138"/>
      <c r="E232" s="45"/>
      <c r="F232" s="133"/>
      <c r="G232" s="134"/>
      <c r="H232" s="135"/>
      <c r="I232" s="136"/>
      <c r="J232" s="17"/>
    </row>
    <row r="233" spans="2:10" ht="26">
      <c r="B233" s="171" t="s">
        <v>175</v>
      </c>
      <c r="C233" s="277"/>
      <c r="D233" s="144" t="s">
        <v>241</v>
      </c>
      <c r="E233" s="45" t="s">
        <v>4</v>
      </c>
      <c r="F233" s="133">
        <f xml:space="preserve"> 66.6+(34+(0.9+0.2)*2)*0.22+5.8*0.22</f>
        <v>75.839999999999989</v>
      </c>
      <c r="G233" s="134">
        <v>522</v>
      </c>
      <c r="H233" s="135">
        <f>F233*G233</f>
        <v>39588.479999999996</v>
      </c>
      <c r="I233" s="136">
        <f>0.00533*F233</f>
        <v>0.4042271999999999</v>
      </c>
      <c r="J233" s="17"/>
    </row>
    <row r="234" spans="2:10" ht="39">
      <c r="B234" s="171"/>
      <c r="C234" s="277"/>
      <c r="D234" s="144" t="s">
        <v>176</v>
      </c>
      <c r="E234" s="45"/>
      <c r="F234" s="133"/>
      <c r="G234" s="134"/>
      <c r="H234" s="135"/>
      <c r="I234" s="136"/>
      <c r="J234" s="17"/>
    </row>
    <row r="235" spans="2:10">
      <c r="B235" s="171" t="s">
        <v>177</v>
      </c>
      <c r="C235" s="277"/>
      <c r="D235" s="138" t="s">
        <v>242</v>
      </c>
      <c r="E235" s="45" t="s">
        <v>4</v>
      </c>
      <c r="F235" s="133">
        <f>F233</f>
        <v>75.839999999999989</v>
      </c>
      <c r="G235" s="134">
        <v>132</v>
      </c>
      <c r="H235" s="135">
        <f>F235*G235</f>
        <v>10010.879999999999</v>
      </c>
      <c r="I235" s="136">
        <f>0*F235</f>
        <v>0</v>
      </c>
      <c r="J235" s="17"/>
    </row>
    <row r="236" spans="2:10" ht="26">
      <c r="B236" s="173" t="s">
        <v>162</v>
      </c>
      <c r="C236" s="378"/>
      <c r="D236" s="400" t="s">
        <v>812</v>
      </c>
      <c r="E236" s="147" t="s">
        <v>7</v>
      </c>
      <c r="F236" s="148">
        <v>3</v>
      </c>
      <c r="G236" s="149">
        <v>5000</v>
      </c>
      <c r="H236" s="150">
        <f>F236*G236</f>
        <v>15000</v>
      </c>
      <c r="I236" s="151">
        <f>0*F236</f>
        <v>0</v>
      </c>
      <c r="J236" s="17"/>
    </row>
    <row r="237" spans="2:10">
      <c r="B237" s="171"/>
      <c r="C237" s="277"/>
      <c r="D237" s="138"/>
      <c r="E237" s="45"/>
      <c r="F237" s="133"/>
      <c r="G237" s="134"/>
      <c r="H237" s="135"/>
      <c r="I237" s="136"/>
      <c r="J237" s="17"/>
    </row>
    <row r="238" spans="2:10" ht="52">
      <c r="B238" s="171"/>
      <c r="C238" s="277"/>
      <c r="D238" s="155" t="s">
        <v>179</v>
      </c>
      <c r="E238" s="45"/>
      <c r="F238" s="156"/>
      <c r="G238" s="134"/>
      <c r="H238" s="135"/>
      <c r="I238" s="136"/>
      <c r="J238" s="17"/>
    </row>
    <row r="239" spans="2:10" ht="24">
      <c r="B239" s="172" t="s">
        <v>180</v>
      </c>
      <c r="C239" s="379"/>
      <c r="D239" s="153" t="s">
        <v>181</v>
      </c>
      <c r="E239" s="139" t="s">
        <v>4</v>
      </c>
      <c r="F239" s="140">
        <v>6</v>
      </c>
      <c r="G239" s="141">
        <v>4000</v>
      </c>
      <c r="H239" s="142">
        <f>F239*G239</f>
        <v>24000</v>
      </c>
      <c r="I239" s="143">
        <f>0*F239</f>
        <v>0</v>
      </c>
      <c r="J239" s="17"/>
    </row>
    <row r="240" spans="2:10">
      <c r="B240" s="171" t="s">
        <v>182</v>
      </c>
      <c r="C240" s="277"/>
      <c r="D240" s="138" t="s">
        <v>245</v>
      </c>
      <c r="E240" s="45" t="s">
        <v>4</v>
      </c>
      <c r="F240" s="133">
        <f>F233</f>
        <v>75.839999999999989</v>
      </c>
      <c r="G240" s="134">
        <v>195</v>
      </c>
      <c r="H240" s="135">
        <f>F240*G240</f>
        <v>14788.799999999997</v>
      </c>
      <c r="I240" s="136">
        <f>0.00088*F240</f>
        <v>6.6739199999999999E-2</v>
      </c>
      <c r="J240" s="17"/>
    </row>
    <row r="241" spans="2:10">
      <c r="B241" s="171" t="s">
        <v>183</v>
      </c>
      <c r="C241" s="277"/>
      <c r="D241" s="138" t="s">
        <v>246</v>
      </c>
      <c r="E241" s="45" t="s">
        <v>4</v>
      </c>
      <c r="F241" s="133">
        <f>F240</f>
        <v>75.839999999999989</v>
      </c>
      <c r="G241" s="134">
        <v>61.3</v>
      </c>
      <c r="H241" s="135">
        <f>F241*G241</f>
        <v>4648.9919999999993</v>
      </c>
      <c r="I241" s="136">
        <f>0*F241</f>
        <v>0</v>
      </c>
      <c r="J241" s="17"/>
    </row>
    <row r="242" spans="2:10">
      <c r="B242" s="171"/>
      <c r="C242" s="277"/>
      <c r="D242" s="138"/>
      <c r="E242" s="45"/>
      <c r="F242" s="133"/>
      <c r="G242" s="134"/>
      <c r="H242" s="135"/>
      <c r="I242" s="136"/>
      <c r="J242" s="17"/>
    </row>
    <row r="243" spans="2:10" ht="26">
      <c r="B243" s="171" t="s">
        <v>184</v>
      </c>
      <c r="C243" s="277"/>
      <c r="D243" s="144" t="s">
        <v>243</v>
      </c>
      <c r="E243" s="45" t="s">
        <v>10</v>
      </c>
      <c r="F243" s="133">
        <f>0.71741</f>
        <v>0.71740999999999999</v>
      </c>
      <c r="G243" s="134">
        <v>62900</v>
      </c>
      <c r="H243" s="135">
        <f>F243*G243</f>
        <v>45125.089</v>
      </c>
      <c r="I243" s="136">
        <f>1.05555*F243</f>
        <v>0.75726212549999994</v>
      </c>
      <c r="J243" s="17"/>
    </row>
    <row r="244" spans="2:10" ht="26">
      <c r="B244" s="171" t="s">
        <v>184</v>
      </c>
      <c r="C244" s="277"/>
      <c r="D244" s="144" t="s">
        <v>244</v>
      </c>
      <c r="E244" s="45" t="s">
        <v>10</v>
      </c>
      <c r="F244" s="133">
        <v>0.65658000000000005</v>
      </c>
      <c r="G244" s="134">
        <v>62900</v>
      </c>
      <c r="H244" s="135">
        <f>F244*G244</f>
        <v>41298.882000000005</v>
      </c>
      <c r="I244" s="136">
        <f>1.05555*F244</f>
        <v>0.69305301900000005</v>
      </c>
      <c r="J244" s="17"/>
    </row>
    <row r="245" spans="2:10">
      <c r="B245" s="171" t="s">
        <v>164</v>
      </c>
      <c r="C245" s="375"/>
      <c r="D245" s="144" t="s">
        <v>247</v>
      </c>
      <c r="E245" s="45" t="s">
        <v>10</v>
      </c>
      <c r="F245" s="133">
        <v>1.248E-2</v>
      </c>
      <c r="G245" s="134">
        <v>49900</v>
      </c>
      <c r="H245" s="135">
        <f>F245*G245</f>
        <v>622.75199999999995</v>
      </c>
      <c r="I245" s="136">
        <f>1.06277*F245</f>
        <v>1.32633696E-2</v>
      </c>
      <c r="J245" s="17"/>
    </row>
    <row r="246" spans="2:10">
      <c r="B246" s="171"/>
      <c r="C246" s="375"/>
      <c r="D246" s="144" t="s">
        <v>248</v>
      </c>
      <c r="E246" s="45" t="s">
        <v>10</v>
      </c>
      <c r="F246" s="133">
        <v>5.3789999999999998E-2</v>
      </c>
      <c r="G246" s="134">
        <v>49900</v>
      </c>
      <c r="H246" s="135">
        <f>F246*G246</f>
        <v>2684.1210000000001</v>
      </c>
      <c r="I246" s="136">
        <f>1.06277*F246</f>
        <v>5.7166398299999997E-2</v>
      </c>
      <c r="J246" s="17"/>
    </row>
    <row r="247" spans="2:10">
      <c r="B247" s="171"/>
      <c r="C247" s="375"/>
      <c r="D247" s="144"/>
      <c r="E247" s="45"/>
      <c r="F247" s="133"/>
      <c r="G247" s="134"/>
      <c r="H247" s="135"/>
      <c r="I247" s="136"/>
      <c r="J247" s="17"/>
    </row>
    <row r="248" spans="2:10" ht="14">
      <c r="B248" s="171"/>
      <c r="C248" s="375"/>
      <c r="D248" s="1" t="s">
        <v>185</v>
      </c>
      <c r="E248" s="45"/>
      <c r="F248" s="133"/>
      <c r="G248" s="134"/>
      <c r="H248" s="135"/>
      <c r="I248" s="136"/>
      <c r="J248" s="17"/>
    </row>
    <row r="249" spans="2:10">
      <c r="B249" s="171"/>
      <c r="C249" s="375"/>
      <c r="D249" s="174" t="s">
        <v>186</v>
      </c>
      <c r="E249" s="45"/>
      <c r="F249" s="133"/>
      <c r="G249" s="134"/>
      <c r="H249" s="135"/>
      <c r="I249" s="136"/>
      <c r="J249" s="17"/>
    </row>
    <row r="250" spans="2:10">
      <c r="B250" s="171" t="s">
        <v>167</v>
      </c>
      <c r="C250" s="375"/>
      <c r="D250" s="144" t="s">
        <v>249</v>
      </c>
      <c r="E250" s="45" t="s">
        <v>8</v>
      </c>
      <c r="F250" s="133">
        <f>13.11*0.2-(0.2*0.9)*0.2</f>
        <v>2.5859999999999999</v>
      </c>
      <c r="G250" s="134">
        <v>4020</v>
      </c>
      <c r="H250" s="135">
        <f>F250*G250</f>
        <v>10395.719999999999</v>
      </c>
      <c r="I250" s="136">
        <f>2.502*F250</f>
        <v>6.4701719999999989</v>
      </c>
      <c r="J250" s="17"/>
    </row>
    <row r="251" spans="2:10">
      <c r="B251" s="171"/>
      <c r="C251" s="375"/>
      <c r="D251" s="144" t="s">
        <v>250</v>
      </c>
      <c r="E251" s="45"/>
      <c r="F251" s="133"/>
      <c r="G251" s="134"/>
      <c r="H251" s="135"/>
      <c r="I251" s="136"/>
      <c r="J251" s="17"/>
    </row>
    <row r="252" spans="2:10">
      <c r="B252" s="171"/>
      <c r="C252" s="375"/>
      <c r="D252" s="144"/>
      <c r="E252" s="45"/>
      <c r="F252" s="133"/>
      <c r="G252" s="134"/>
      <c r="H252" s="135"/>
      <c r="I252" s="136"/>
      <c r="J252" s="17"/>
    </row>
    <row r="253" spans="2:10">
      <c r="B253" s="171" t="s">
        <v>175</v>
      </c>
      <c r="C253" s="277"/>
      <c r="D253" s="144" t="s">
        <v>251</v>
      </c>
      <c r="E253" s="45" t="s">
        <v>4</v>
      </c>
      <c r="F253" s="133">
        <f>13.11+(18.9*0.2)+(0.2+0.9)*2*0.2</f>
        <v>17.330000000000002</v>
      </c>
      <c r="G253" s="134">
        <v>522</v>
      </c>
      <c r="H253" s="135">
        <f>F253*G253</f>
        <v>9046.26</v>
      </c>
      <c r="I253" s="136">
        <f>0.00533*F253</f>
        <v>9.2368900000000004E-2</v>
      </c>
      <c r="J253" s="17"/>
    </row>
    <row r="254" spans="2:10">
      <c r="B254" s="171" t="s">
        <v>177</v>
      </c>
      <c r="C254" s="277"/>
      <c r="D254" s="138" t="s">
        <v>242</v>
      </c>
      <c r="E254" s="45" t="s">
        <v>4</v>
      </c>
      <c r="F254" s="133">
        <f>F253</f>
        <v>17.330000000000002</v>
      </c>
      <c r="G254" s="134">
        <v>132</v>
      </c>
      <c r="H254" s="135">
        <f>F254*G254</f>
        <v>2287.5600000000004</v>
      </c>
      <c r="I254" s="136">
        <f>0*F254</f>
        <v>0</v>
      </c>
      <c r="J254" s="17"/>
    </row>
    <row r="255" spans="2:10">
      <c r="B255" s="171"/>
      <c r="C255" s="277"/>
      <c r="D255" s="138" t="s">
        <v>187</v>
      </c>
      <c r="E255" s="45"/>
      <c r="F255" s="133"/>
      <c r="G255" s="134"/>
      <c r="H255" s="135"/>
      <c r="I255" s="136"/>
      <c r="J255" s="17"/>
    </row>
    <row r="256" spans="2:10">
      <c r="B256" s="173"/>
      <c r="C256" s="378"/>
      <c r="D256" s="166"/>
      <c r="E256" s="147"/>
      <c r="F256" s="148"/>
      <c r="G256" s="149"/>
      <c r="H256" s="150"/>
      <c r="I256" s="151"/>
      <c r="J256" s="17"/>
    </row>
    <row r="257" spans="2:10" ht="24">
      <c r="B257" s="173" t="s">
        <v>162</v>
      </c>
      <c r="C257" s="378"/>
      <c r="D257" s="400" t="s">
        <v>813</v>
      </c>
      <c r="E257" s="147" t="s">
        <v>7</v>
      </c>
      <c r="F257" s="148">
        <v>1</v>
      </c>
      <c r="G257" s="149">
        <v>5000</v>
      </c>
      <c r="H257" s="150">
        <f>F257*G257</f>
        <v>5000</v>
      </c>
      <c r="I257" s="151">
        <f>0*F257</f>
        <v>0</v>
      </c>
      <c r="J257" s="17"/>
    </row>
    <row r="258" spans="2:10" ht="26">
      <c r="B258" s="172" t="s">
        <v>162</v>
      </c>
      <c r="C258" s="277"/>
      <c r="D258" s="153" t="s">
        <v>252</v>
      </c>
      <c r="E258" s="45" t="s">
        <v>4</v>
      </c>
      <c r="F258" s="133">
        <v>13.11</v>
      </c>
      <c r="G258" s="134">
        <v>4000</v>
      </c>
      <c r="H258" s="150">
        <f>F258*G258</f>
        <v>52440</v>
      </c>
      <c r="I258" s="151">
        <f>0*F258</f>
        <v>0</v>
      </c>
      <c r="J258" s="17"/>
    </row>
    <row r="259" spans="2:10" ht="26">
      <c r="B259" s="172" t="s">
        <v>162</v>
      </c>
      <c r="C259" s="277"/>
      <c r="D259" s="153" t="s">
        <v>253</v>
      </c>
      <c r="E259" s="45" t="s">
        <v>4</v>
      </c>
      <c r="F259" s="133">
        <f>13.11+(6.7+2.2)*0.2+6.7*0.25*2+1.94*0.25*2</f>
        <v>19.21</v>
      </c>
      <c r="G259" s="134">
        <v>4000</v>
      </c>
      <c r="H259" s="150">
        <f>F259*G259</f>
        <v>76840</v>
      </c>
      <c r="I259" s="151">
        <f>0*F259</f>
        <v>0</v>
      </c>
      <c r="J259" s="17"/>
    </row>
    <row r="260" spans="2:10">
      <c r="B260" s="171"/>
      <c r="C260" s="277"/>
      <c r="D260" s="153" t="s">
        <v>188</v>
      </c>
      <c r="E260" s="157"/>
      <c r="F260" s="133"/>
      <c r="G260" s="134"/>
      <c r="H260" s="135"/>
      <c r="I260" s="136"/>
      <c r="J260" s="17"/>
    </row>
    <row r="261" spans="2:10" ht="24">
      <c r="B261" s="172" t="s">
        <v>189</v>
      </c>
      <c r="C261" s="379"/>
      <c r="D261" s="153" t="s">
        <v>254</v>
      </c>
      <c r="E261" s="139" t="s">
        <v>7</v>
      </c>
      <c r="F261" s="140">
        <v>1</v>
      </c>
      <c r="G261" s="141">
        <v>2000</v>
      </c>
      <c r="H261" s="150">
        <f>F261*G261</f>
        <v>2000</v>
      </c>
      <c r="I261" s="151">
        <f>0*F261</f>
        <v>0</v>
      </c>
      <c r="J261" s="17"/>
    </row>
    <row r="262" spans="2:10">
      <c r="B262" s="171" t="s">
        <v>182</v>
      </c>
      <c r="C262" s="277"/>
      <c r="D262" s="138" t="s">
        <v>255</v>
      </c>
      <c r="E262" s="45" t="s">
        <v>4</v>
      </c>
      <c r="F262" s="133">
        <f>F253</f>
        <v>17.330000000000002</v>
      </c>
      <c r="G262" s="134">
        <v>195</v>
      </c>
      <c r="H262" s="135">
        <f>F262*G262</f>
        <v>3379.3500000000004</v>
      </c>
      <c r="I262" s="136">
        <f>0.00088*F262</f>
        <v>1.5250400000000002E-2</v>
      </c>
      <c r="J262" s="17"/>
    </row>
    <row r="263" spans="2:10">
      <c r="B263" s="171" t="s">
        <v>183</v>
      </c>
      <c r="C263" s="277"/>
      <c r="D263" s="138" t="s">
        <v>256</v>
      </c>
      <c r="E263" s="45" t="s">
        <v>4</v>
      </c>
      <c r="F263" s="133">
        <f>F253</f>
        <v>17.330000000000002</v>
      </c>
      <c r="G263" s="134">
        <v>61.3</v>
      </c>
      <c r="H263" s="135">
        <f>F263*G263</f>
        <v>1062.329</v>
      </c>
      <c r="I263" s="136">
        <f>0*F263</f>
        <v>0</v>
      </c>
      <c r="J263" s="17"/>
    </row>
    <row r="264" spans="2:10">
      <c r="B264" s="171" t="s">
        <v>184</v>
      </c>
      <c r="C264" s="277"/>
      <c r="D264" s="144" t="s">
        <v>262</v>
      </c>
      <c r="E264" s="45" t="s">
        <v>10</v>
      </c>
      <c r="F264" s="158">
        <v>0.12454999999999999</v>
      </c>
      <c r="G264" s="134">
        <v>62900</v>
      </c>
      <c r="H264" s="135">
        <f>F264*G264</f>
        <v>7834.1949999999997</v>
      </c>
      <c r="I264" s="136">
        <f>1.05555*F264</f>
        <v>0.13146875249999998</v>
      </c>
      <c r="J264" s="17"/>
    </row>
    <row r="265" spans="2:10">
      <c r="B265" s="171"/>
      <c r="C265" s="277"/>
      <c r="D265" s="144"/>
      <c r="E265" s="45"/>
      <c r="F265" s="133"/>
      <c r="G265" s="134"/>
      <c r="H265" s="135"/>
      <c r="I265" s="136"/>
      <c r="J265" s="17"/>
    </row>
    <row r="266" spans="2:10">
      <c r="B266" s="171"/>
      <c r="C266" s="375"/>
      <c r="D266" s="153" t="s">
        <v>191</v>
      </c>
      <c r="E266" s="139"/>
      <c r="F266" s="140"/>
      <c r="G266" s="141"/>
      <c r="H266" s="142"/>
      <c r="I266" s="143"/>
      <c r="J266" s="17"/>
    </row>
    <row r="267" spans="2:10">
      <c r="B267" s="171" t="s">
        <v>192</v>
      </c>
      <c r="C267" s="375"/>
      <c r="D267" s="132" t="s">
        <v>257</v>
      </c>
      <c r="E267" s="139" t="s">
        <v>8</v>
      </c>
      <c r="F267" s="140">
        <f>SUM(F268:F269)</f>
        <v>0.50150000000000006</v>
      </c>
      <c r="G267" s="141">
        <v>4300</v>
      </c>
      <c r="H267" s="142">
        <f>F267*G267</f>
        <v>2156.4500000000003</v>
      </c>
      <c r="I267" s="143">
        <f>2.50197*F267</f>
        <v>1.2547379550000002</v>
      </c>
      <c r="J267" s="17"/>
    </row>
    <row r="268" spans="2:10">
      <c r="B268" s="171"/>
      <c r="C268" s="375"/>
      <c r="D268" s="153" t="s">
        <v>193</v>
      </c>
      <c r="E268" s="139"/>
      <c r="F268" s="140">
        <f>0.2*0.25*7.64</f>
        <v>0.38200000000000001</v>
      </c>
      <c r="G268" s="141"/>
      <c r="H268" s="142"/>
      <c r="I268" s="143"/>
      <c r="J268" s="17"/>
    </row>
    <row r="269" spans="2:10">
      <c r="B269" s="171"/>
      <c r="C269" s="375"/>
      <c r="D269" s="153" t="s">
        <v>194</v>
      </c>
      <c r="E269" s="139"/>
      <c r="F269" s="140">
        <f>0.2*0.25*2.39</f>
        <v>0.11950000000000001</v>
      </c>
      <c r="G269" s="141"/>
      <c r="H269" s="142"/>
      <c r="I269" s="143"/>
      <c r="J269" s="17"/>
    </row>
    <row r="270" spans="2:10">
      <c r="B270" s="171"/>
      <c r="C270" s="375"/>
      <c r="D270" s="132"/>
      <c r="E270" s="139"/>
      <c r="F270" s="140"/>
      <c r="G270" s="141"/>
      <c r="H270" s="142"/>
      <c r="I270" s="143"/>
      <c r="J270" s="17"/>
    </row>
    <row r="271" spans="2:10">
      <c r="B271" s="171" t="s">
        <v>195</v>
      </c>
      <c r="C271" s="375"/>
      <c r="D271" s="132" t="s">
        <v>258</v>
      </c>
      <c r="E271" s="139" t="s">
        <v>4</v>
      </c>
      <c r="F271" s="140">
        <f>0.25*7.64*2+0.25*2.39*2+0.2*(7.64+2.39)</f>
        <v>7.020999999999999</v>
      </c>
      <c r="G271" s="141">
        <v>849</v>
      </c>
      <c r="H271" s="142">
        <f t="shared" ref="H271:H276" si="3">F271*G271</f>
        <v>5960.8289999999988</v>
      </c>
      <c r="I271" s="143">
        <f>2.50197*F271</f>
        <v>17.566331369999997</v>
      </c>
      <c r="J271" s="17"/>
    </row>
    <row r="272" spans="2:10">
      <c r="B272" s="171"/>
      <c r="C272" s="375"/>
      <c r="D272" s="132" t="s">
        <v>259</v>
      </c>
      <c r="E272" s="139"/>
      <c r="F272" s="140"/>
      <c r="G272" s="141"/>
      <c r="H272" s="142"/>
      <c r="I272" s="143"/>
      <c r="J272" s="17"/>
    </row>
    <row r="273" spans="2:10">
      <c r="B273" s="171" t="s">
        <v>196</v>
      </c>
      <c r="C273" s="375"/>
      <c r="D273" s="132" t="s">
        <v>197</v>
      </c>
      <c r="E273" s="139" t="s">
        <v>4</v>
      </c>
      <c r="F273" s="140">
        <f>F271</f>
        <v>7.020999999999999</v>
      </c>
      <c r="G273" s="141">
        <v>136</v>
      </c>
      <c r="H273" s="142">
        <f t="shared" si="3"/>
        <v>954.85599999999988</v>
      </c>
      <c r="I273" s="143">
        <f>0*F273</f>
        <v>0</v>
      </c>
      <c r="J273" s="17"/>
    </row>
    <row r="274" spans="2:10">
      <c r="B274" s="171" t="s">
        <v>198</v>
      </c>
      <c r="C274" s="375"/>
      <c r="D274" s="153" t="s">
        <v>260</v>
      </c>
      <c r="E274" s="139" t="s">
        <v>4</v>
      </c>
      <c r="F274" s="140">
        <f>F271</f>
        <v>7.020999999999999</v>
      </c>
      <c r="G274" s="141">
        <v>387</v>
      </c>
      <c r="H274" s="142">
        <f t="shared" si="3"/>
        <v>2717.1269999999995</v>
      </c>
      <c r="I274" s="143">
        <f>0.0034*F274</f>
        <v>2.3871399999999994E-2</v>
      </c>
      <c r="J274" s="17"/>
    </row>
    <row r="275" spans="2:10" ht="26">
      <c r="B275" s="171" t="s">
        <v>199</v>
      </c>
      <c r="C275" s="375"/>
      <c r="D275" s="153" t="s">
        <v>261</v>
      </c>
      <c r="E275" s="139" t="s">
        <v>4</v>
      </c>
      <c r="F275" s="140">
        <f>F271</f>
        <v>7.020999999999999</v>
      </c>
      <c r="G275" s="141">
        <v>712</v>
      </c>
      <c r="H275" s="142">
        <f t="shared" si="3"/>
        <v>4998.9519999999993</v>
      </c>
      <c r="I275" s="143">
        <f>0.00161*F275</f>
        <v>1.1303809999999999E-2</v>
      </c>
      <c r="J275" s="17"/>
    </row>
    <row r="276" spans="2:10">
      <c r="B276" s="171" t="s">
        <v>200</v>
      </c>
      <c r="C276" s="375"/>
      <c r="D276" s="132" t="s">
        <v>197</v>
      </c>
      <c r="E276" s="139" t="s">
        <v>4</v>
      </c>
      <c r="F276" s="140">
        <f>F275</f>
        <v>7.020999999999999</v>
      </c>
      <c r="G276" s="141">
        <v>134</v>
      </c>
      <c r="H276" s="142">
        <f t="shared" si="3"/>
        <v>940.81399999999985</v>
      </c>
      <c r="I276" s="143">
        <f>0*F276</f>
        <v>0</v>
      </c>
      <c r="J276" s="17"/>
    </row>
    <row r="277" spans="2:10" ht="26">
      <c r="B277" s="171" t="s">
        <v>201</v>
      </c>
      <c r="C277" s="375"/>
      <c r="D277" s="175" t="s">
        <v>263</v>
      </c>
      <c r="E277" s="139" t="s">
        <v>10</v>
      </c>
      <c r="F277" s="140">
        <v>0.11087</v>
      </c>
      <c r="G277" s="141">
        <v>62900</v>
      </c>
      <c r="H277" s="142">
        <f>F277*G277</f>
        <v>6973.723</v>
      </c>
      <c r="I277" s="143">
        <f>1.05512*F277</f>
        <v>0.11698115440000001</v>
      </c>
      <c r="J277" s="17"/>
    </row>
    <row r="278" spans="2:10">
      <c r="B278" s="171"/>
      <c r="C278" s="375"/>
      <c r="D278" s="144"/>
      <c r="E278" s="45"/>
      <c r="F278" s="133"/>
      <c r="G278" s="134"/>
      <c r="H278" s="135"/>
      <c r="I278" s="136"/>
      <c r="J278" s="17"/>
    </row>
    <row r="279" spans="2:10" ht="14">
      <c r="B279" s="171"/>
      <c r="C279" s="375"/>
      <c r="D279" s="1" t="s">
        <v>202</v>
      </c>
      <c r="E279" s="45"/>
      <c r="F279" s="133"/>
      <c r="G279" s="134"/>
      <c r="H279" s="135"/>
      <c r="I279" s="136"/>
      <c r="J279" s="17"/>
    </row>
    <row r="280" spans="2:10">
      <c r="B280" s="171"/>
      <c r="C280" s="277"/>
      <c r="D280" s="174" t="s">
        <v>203</v>
      </c>
      <c r="E280" s="45"/>
      <c r="F280" s="133"/>
      <c r="G280" s="134"/>
      <c r="H280" s="135"/>
      <c r="I280" s="136"/>
      <c r="J280" s="17"/>
    </row>
    <row r="281" spans="2:10">
      <c r="B281" s="171" t="s">
        <v>167</v>
      </c>
      <c r="C281" s="375"/>
      <c r="D281" s="138" t="s">
        <v>264</v>
      </c>
      <c r="E281" s="45" t="s">
        <v>8</v>
      </c>
      <c r="F281" s="159">
        <f>(64.1 - 0.2*0.9)*0.22- 3.14*(2.654/2)*(2.654/2)*0.22+(0.8*0.15*3.14*2.327)+ (32.5-3.88)*0.37</f>
        <v>24.312163846799997</v>
      </c>
      <c r="G281" s="134">
        <v>4020</v>
      </c>
      <c r="H281" s="135">
        <f>F281*G281</f>
        <v>97734.898664135995</v>
      </c>
      <c r="I281" s="136">
        <f>2.502*F281</f>
        <v>60.829033944693585</v>
      </c>
      <c r="J281" s="17"/>
    </row>
    <row r="282" spans="2:10" ht="32">
      <c r="B282" s="171"/>
      <c r="C282" s="375"/>
      <c r="D282" s="160" t="s">
        <v>270</v>
      </c>
      <c r="E282" s="45"/>
      <c r="F282" s="133"/>
      <c r="G282" s="134"/>
      <c r="H282" s="135"/>
      <c r="I282" s="136"/>
      <c r="J282" s="17"/>
    </row>
    <row r="283" spans="2:10" ht="24">
      <c r="B283" s="171" t="s">
        <v>87</v>
      </c>
      <c r="C283" s="375"/>
      <c r="D283" s="176" t="s">
        <v>265</v>
      </c>
      <c r="E283" s="45" t="s">
        <v>7</v>
      </c>
      <c r="F283" s="133">
        <v>7</v>
      </c>
      <c r="G283" s="134">
        <f>200*1.155+400+300</f>
        <v>931</v>
      </c>
      <c r="H283" s="135">
        <f>F283*G283</f>
        <v>6517</v>
      </c>
      <c r="I283" s="136">
        <f>0.001085*F283</f>
        <v>7.5950000000000002E-3</v>
      </c>
      <c r="J283" s="17"/>
    </row>
    <row r="284" spans="2:10" ht="24">
      <c r="B284" s="173" t="s">
        <v>162</v>
      </c>
      <c r="C284" s="378"/>
      <c r="D284" s="401" t="s">
        <v>814</v>
      </c>
      <c r="E284" s="147" t="s">
        <v>7</v>
      </c>
      <c r="F284" s="148">
        <v>3</v>
      </c>
      <c r="G284" s="149">
        <v>5000</v>
      </c>
      <c r="H284" s="150">
        <f>F284*G284</f>
        <v>15000</v>
      </c>
      <c r="I284" s="151">
        <f>0*F284</f>
        <v>0</v>
      </c>
      <c r="J284" s="17"/>
    </row>
    <row r="285" spans="2:10">
      <c r="B285" s="171"/>
      <c r="C285" s="375"/>
      <c r="D285" s="144"/>
      <c r="E285" s="45"/>
      <c r="F285" s="133"/>
      <c r="G285" s="134"/>
      <c r="H285" s="135"/>
      <c r="I285" s="136"/>
      <c r="J285" s="17"/>
    </row>
    <row r="286" spans="2:10">
      <c r="B286" s="171" t="s">
        <v>175</v>
      </c>
      <c r="C286" s="277"/>
      <c r="D286" s="167" t="s">
        <v>267</v>
      </c>
      <c r="E286" s="45" t="s">
        <v>4</v>
      </c>
      <c r="F286" s="133">
        <f>64.1+ 32.5*0.22+ (0.2+0.9)*2*0.22- 3.14*(2.654/2)*(2.654/2)+ (0.8*3.14*2.654)*2+(32.5-3.88)*0.37*2</f>
        <v>100.71717894</v>
      </c>
      <c r="G286" s="134">
        <v>522</v>
      </c>
      <c r="H286" s="135">
        <f>F286*G286</f>
        <v>52574.367406680001</v>
      </c>
      <c r="I286" s="136">
        <f>0.00533*F286</f>
        <v>0.53682256375019999</v>
      </c>
      <c r="J286" s="17"/>
    </row>
    <row r="287" spans="2:10">
      <c r="B287" s="171" t="s">
        <v>177</v>
      </c>
      <c r="C287" s="277"/>
      <c r="D287" s="138" t="s">
        <v>178</v>
      </c>
      <c r="E287" s="45" t="s">
        <v>4</v>
      </c>
      <c r="F287" s="133">
        <f>F286</f>
        <v>100.71717894</v>
      </c>
      <c r="G287" s="134">
        <v>132</v>
      </c>
      <c r="H287" s="135">
        <f>F287*G287</f>
        <v>13294.667620079999</v>
      </c>
      <c r="I287" s="136">
        <f>0*F287</f>
        <v>0</v>
      </c>
      <c r="J287" s="17"/>
    </row>
    <row r="288" spans="2:10" ht="26">
      <c r="B288" s="171"/>
      <c r="C288" s="277"/>
      <c r="D288" s="138" t="s">
        <v>266</v>
      </c>
      <c r="E288" s="45"/>
      <c r="F288" s="133"/>
      <c r="G288" s="134"/>
      <c r="H288" s="135"/>
      <c r="I288" s="136"/>
      <c r="J288" s="17"/>
    </row>
    <row r="289" spans="2:10">
      <c r="B289" s="171"/>
      <c r="C289" s="277"/>
      <c r="D289" s="138" t="s">
        <v>268</v>
      </c>
      <c r="E289" s="45" t="s">
        <v>4</v>
      </c>
      <c r="F289" s="133">
        <f>(0.8*3.14*2.654)*2</f>
        <v>13.333696000000002</v>
      </c>
      <c r="G289" s="134">
        <v>400</v>
      </c>
      <c r="H289" s="135">
        <f>F289*G289</f>
        <v>5333.4784000000009</v>
      </c>
      <c r="I289" s="136">
        <f>0*F289</f>
        <v>0</v>
      </c>
      <c r="J289" s="17"/>
    </row>
    <row r="290" spans="2:10">
      <c r="B290" s="171" t="s">
        <v>182</v>
      </c>
      <c r="C290" s="277"/>
      <c r="D290" s="138" t="s">
        <v>269</v>
      </c>
      <c r="E290" s="45" t="s">
        <v>4</v>
      </c>
      <c r="F290" s="133">
        <f>64.1+ 32.5*0.22+ (0.2+0.9)*2*0.22- 3.14*(2.654/2)*(2.654/2)+ (0.8*3.14*2.654)*2+(32.5-3.88)*0.37*2</f>
        <v>100.71717894</v>
      </c>
      <c r="G290" s="134">
        <v>195</v>
      </c>
      <c r="H290" s="135">
        <f>F290*G290</f>
        <v>19639.849893300001</v>
      </c>
      <c r="I290" s="136">
        <f>0.00088*F290</f>
        <v>8.8631117467199996E-2</v>
      </c>
      <c r="J290" s="17"/>
    </row>
    <row r="291" spans="2:10">
      <c r="B291" s="171" t="s">
        <v>183</v>
      </c>
      <c r="C291" s="277"/>
      <c r="D291" s="138" t="s">
        <v>160</v>
      </c>
      <c r="E291" s="45" t="s">
        <v>4</v>
      </c>
      <c r="F291" s="133">
        <f>64.1+ 32.5*0.22+ (0.2+0.9)*2*0.22- 3.14*(2.654/2)*(2.654/2)+ (0.8*3.14*2.654)*2+(32.5-3.88)*0.37*2</f>
        <v>100.71717894</v>
      </c>
      <c r="G291" s="134">
        <v>61.3</v>
      </c>
      <c r="H291" s="135">
        <f>F291*G291</f>
        <v>6173.9630690219992</v>
      </c>
      <c r="I291" s="136">
        <f>0*F291</f>
        <v>0</v>
      </c>
      <c r="J291" s="17"/>
    </row>
    <row r="292" spans="2:10">
      <c r="B292" s="171"/>
      <c r="C292" s="375"/>
      <c r="D292" s="144"/>
      <c r="E292" s="45"/>
      <c r="F292" s="133"/>
      <c r="G292" s="134"/>
      <c r="H292" s="135"/>
      <c r="I292" s="136"/>
      <c r="J292" s="17"/>
    </row>
    <row r="293" spans="2:10" ht="26">
      <c r="B293" s="171" t="s">
        <v>184</v>
      </c>
      <c r="C293" s="277"/>
      <c r="D293" s="144" t="s">
        <v>271</v>
      </c>
      <c r="E293" s="45" t="s">
        <v>10</v>
      </c>
      <c r="F293" s="158">
        <f>0.55877</f>
        <v>0.55876999999999999</v>
      </c>
      <c r="G293" s="134">
        <v>62900</v>
      </c>
      <c r="H293" s="135">
        <f>F293*G293</f>
        <v>35146.633000000002</v>
      </c>
      <c r="I293" s="136">
        <f>1.05555*F293</f>
        <v>0.58980967350000002</v>
      </c>
      <c r="J293" s="17"/>
    </row>
    <row r="294" spans="2:10" ht="26">
      <c r="B294" s="171" t="s">
        <v>184</v>
      </c>
      <c r="C294" s="277"/>
      <c r="D294" s="144" t="s">
        <v>272</v>
      </c>
      <c r="E294" s="45" t="s">
        <v>10</v>
      </c>
      <c r="F294" s="158">
        <f>0.48931</f>
        <v>0.48931000000000002</v>
      </c>
      <c r="G294" s="134">
        <v>62900</v>
      </c>
      <c r="H294" s="135">
        <f>F294*G294</f>
        <v>30777.599000000002</v>
      </c>
      <c r="I294" s="136">
        <f>1.05555*F294</f>
        <v>0.51649117050000004</v>
      </c>
      <c r="J294" s="17"/>
    </row>
    <row r="295" spans="2:10">
      <c r="B295" s="171" t="s">
        <v>164</v>
      </c>
      <c r="C295" s="375"/>
      <c r="D295" s="144" t="s">
        <v>273</v>
      </c>
      <c r="E295" s="45" t="s">
        <v>10</v>
      </c>
      <c r="F295" s="158">
        <v>5.2139999999999999E-2</v>
      </c>
      <c r="G295" s="134">
        <v>49900</v>
      </c>
      <c r="H295" s="135">
        <f>F295*G295</f>
        <v>2601.7860000000001</v>
      </c>
      <c r="I295" s="136">
        <f>1.06277*F295</f>
        <v>5.5412827800000002E-2</v>
      </c>
      <c r="J295" s="17"/>
    </row>
    <row r="296" spans="2:10">
      <c r="B296" s="171"/>
      <c r="C296" s="375"/>
      <c r="D296" s="144"/>
      <c r="E296" s="45"/>
      <c r="F296" s="158"/>
      <c r="G296" s="134"/>
      <c r="H296" s="135"/>
      <c r="I296" s="136"/>
      <c r="J296" s="17"/>
    </row>
    <row r="297" spans="2:10">
      <c r="B297" s="171"/>
      <c r="C297" s="171" t="s">
        <v>204</v>
      </c>
      <c r="D297" s="153" t="s">
        <v>274</v>
      </c>
      <c r="E297" s="139"/>
      <c r="F297" s="140"/>
      <c r="G297" s="141"/>
      <c r="H297" s="142"/>
      <c r="I297" s="143"/>
      <c r="J297" s="17"/>
    </row>
    <row r="298" spans="2:10" ht="26">
      <c r="B298" s="171" t="s">
        <v>201</v>
      </c>
      <c r="C298" s="375"/>
      <c r="D298" s="175" t="s">
        <v>275</v>
      </c>
      <c r="E298" s="139" t="s">
        <v>10</v>
      </c>
      <c r="F298" s="161">
        <v>0.10306</v>
      </c>
      <c r="G298" s="141">
        <v>62900</v>
      </c>
      <c r="H298" s="142">
        <f>F298*G298</f>
        <v>6482.4740000000002</v>
      </c>
      <c r="I298" s="143">
        <f>1.05512*F298</f>
        <v>0.1087406672</v>
      </c>
      <c r="J298" s="17"/>
    </row>
    <row r="299" spans="2:10">
      <c r="B299" s="171"/>
      <c r="C299" s="375"/>
      <c r="D299" s="175"/>
      <c r="G299" s="18"/>
      <c r="I299" s="18"/>
      <c r="J299" s="17"/>
    </row>
    <row r="300" spans="2:10" ht="15">
      <c r="B300" s="171"/>
      <c r="C300" s="375"/>
      <c r="D300" s="78" t="s">
        <v>282</v>
      </c>
      <c r="E300" s="179" t="s">
        <v>48</v>
      </c>
      <c r="F300" s="180" t="s">
        <v>60</v>
      </c>
      <c r="G300" s="181"/>
      <c r="H300" s="182">
        <f>SUM(H301:H398)</f>
        <v>1815568.50978</v>
      </c>
      <c r="I300" s="182">
        <f>SUM(I301:I398)</f>
        <v>182.47649478079995</v>
      </c>
      <c r="J300" s="17"/>
    </row>
    <row r="301" spans="2:10" ht="14">
      <c r="B301" s="171"/>
      <c r="C301" s="375"/>
      <c r="D301" s="54" t="s">
        <v>205</v>
      </c>
      <c r="E301" s="45"/>
      <c r="F301" s="133"/>
      <c r="G301" s="134"/>
      <c r="H301" s="135"/>
      <c r="I301" s="136"/>
      <c r="J301" s="17"/>
    </row>
    <row r="302" spans="2:10">
      <c r="B302" s="171"/>
      <c r="C302" s="375"/>
      <c r="D302" s="174" t="s">
        <v>206</v>
      </c>
      <c r="E302" s="45"/>
      <c r="F302" s="133"/>
      <c r="G302" s="134"/>
      <c r="H302" s="135"/>
      <c r="I302" s="136"/>
      <c r="J302" s="17"/>
    </row>
    <row r="303" spans="2:10">
      <c r="B303" s="171" t="s">
        <v>207</v>
      </c>
      <c r="C303" s="375"/>
      <c r="D303" s="144" t="s">
        <v>276</v>
      </c>
      <c r="E303" s="45" t="s">
        <v>8</v>
      </c>
      <c r="F303" s="162">
        <f>SUM(F304:F305)</f>
        <v>20.622699999999998</v>
      </c>
      <c r="G303" s="134">
        <v>3900</v>
      </c>
      <c r="H303" s="135">
        <f>F303*G303</f>
        <v>80428.53</v>
      </c>
      <c r="I303" s="136">
        <f>2.50188*F303</f>
        <v>51.595520675999992</v>
      </c>
      <c r="J303" s="17"/>
    </row>
    <row r="304" spans="2:10">
      <c r="B304" s="171"/>
      <c r="C304" s="375"/>
      <c r="D304" s="138" t="s">
        <v>208</v>
      </c>
      <c r="E304" s="45"/>
      <c r="F304" s="133">
        <f>2.99*7</f>
        <v>20.93</v>
      </c>
      <c r="G304" s="134"/>
      <c r="H304" s="135"/>
      <c r="I304" s="136"/>
      <c r="J304" s="17"/>
    </row>
    <row r="305" spans="2:10">
      <c r="B305" s="171"/>
      <c r="C305" s="375"/>
      <c r="D305" s="138" t="s">
        <v>209</v>
      </c>
      <c r="E305" s="45"/>
      <c r="F305" s="138">
        <f xml:space="preserve"> -(0.835*0.9+0.8*0.7+0.2*1.125)*0.2</f>
        <v>-0.30730000000000002</v>
      </c>
      <c r="G305" s="134"/>
      <c r="H305" s="135"/>
      <c r="I305" s="136"/>
      <c r="J305" s="17"/>
    </row>
    <row r="306" spans="2:10">
      <c r="B306" s="171"/>
      <c r="C306" s="375"/>
      <c r="D306" s="138"/>
      <c r="E306" s="45"/>
      <c r="F306" s="138"/>
      <c r="G306" s="134"/>
      <c r="H306" s="135"/>
      <c r="I306" s="136"/>
      <c r="J306" s="17"/>
    </row>
    <row r="307" spans="2:10">
      <c r="B307" s="171" t="s">
        <v>211</v>
      </c>
      <c r="C307" s="375"/>
      <c r="D307" s="144" t="s">
        <v>277</v>
      </c>
      <c r="E307" s="45" t="s">
        <v>4</v>
      </c>
      <c r="F307" s="133">
        <f>SUM(F308:F310)</f>
        <v>206.196</v>
      </c>
      <c r="G307" s="134">
        <v>518</v>
      </c>
      <c r="H307" s="135">
        <f>F307*G307</f>
        <v>106809.52800000001</v>
      </c>
      <c r="I307" s="136">
        <f>0.00275*F307</f>
        <v>0.56703899999999996</v>
      </c>
      <c r="J307" s="17"/>
    </row>
    <row r="308" spans="2:10">
      <c r="B308" s="171"/>
      <c r="C308" s="375"/>
      <c r="D308" s="144" t="s">
        <v>213</v>
      </c>
      <c r="E308" s="45"/>
      <c r="F308" s="133">
        <f>69*3</f>
        <v>207</v>
      </c>
      <c r="G308" s="134"/>
      <c r="H308" s="135"/>
      <c r="I308" s="136"/>
      <c r="J308" s="17"/>
    </row>
    <row r="309" spans="2:10">
      <c r="B309" s="171"/>
      <c r="C309" s="375"/>
      <c r="D309" s="144" t="s">
        <v>214</v>
      </c>
      <c r="E309" s="45"/>
      <c r="F309" s="133">
        <f xml:space="preserve"> -(0.835*0.9+0.8*0.7+0.2*1.125)*2</f>
        <v>-3.073</v>
      </c>
      <c r="G309" s="134"/>
      <c r="H309" s="135"/>
      <c r="I309" s="136"/>
      <c r="J309" s="17"/>
    </row>
    <row r="310" spans="2:10" ht="26">
      <c r="B310" s="171"/>
      <c r="C310" s="375"/>
      <c r="D310" s="144" t="s">
        <v>215</v>
      </c>
      <c r="E310" s="45"/>
      <c r="F310" s="133">
        <f>( 1.8+0.7)*2*0.2 + (0.835*2+0.9)*0.2+0.9*0.25+(0.2+1.125)*2*0.2</f>
        <v>2.2690000000000001</v>
      </c>
      <c r="G310" s="134"/>
      <c r="H310" s="135"/>
      <c r="I310" s="136"/>
      <c r="J310" s="17"/>
    </row>
    <row r="311" spans="2:10">
      <c r="B311" s="171" t="s">
        <v>216</v>
      </c>
      <c r="C311" s="375"/>
      <c r="D311" s="138" t="s">
        <v>242</v>
      </c>
      <c r="E311" s="45" t="s">
        <v>4</v>
      </c>
      <c r="F311" s="133">
        <f>F307</f>
        <v>206.196</v>
      </c>
      <c r="G311" s="134">
        <v>140</v>
      </c>
      <c r="H311" s="135">
        <f>F311*G311</f>
        <v>28867.439999999999</v>
      </c>
      <c r="I311" s="136">
        <f>0*F311</f>
        <v>0</v>
      </c>
      <c r="J311" s="17"/>
    </row>
    <row r="312" spans="2:10" ht="26">
      <c r="B312" s="173" t="s">
        <v>284</v>
      </c>
      <c r="C312" s="375"/>
      <c r="D312" s="146" t="s">
        <v>285</v>
      </c>
      <c r="E312" s="147" t="s">
        <v>4</v>
      </c>
      <c r="F312" s="148">
        <f>SUM(F313:F315)</f>
        <v>17.100000000000001</v>
      </c>
      <c r="G312" s="149">
        <v>1010</v>
      </c>
      <c r="H312" s="135">
        <f>F312*G312</f>
        <v>17271</v>
      </c>
      <c r="I312" s="151">
        <f>0.00408*F312</f>
        <v>6.9768000000000011E-2</v>
      </c>
      <c r="J312" s="17"/>
    </row>
    <row r="313" spans="2:10" ht="39">
      <c r="B313" s="173"/>
      <c r="C313" s="375"/>
      <c r="D313" s="400" t="s">
        <v>815</v>
      </c>
      <c r="E313" s="147" t="s">
        <v>4</v>
      </c>
      <c r="F313" s="148">
        <f>3*0.8*2</f>
        <v>4.8000000000000007</v>
      </c>
      <c r="G313" s="149"/>
      <c r="H313" s="135"/>
      <c r="I313" s="136"/>
      <c r="J313" s="17"/>
    </row>
    <row r="314" spans="2:10" ht="26">
      <c r="B314" s="173"/>
      <c r="C314" s="375"/>
      <c r="D314" s="146" t="s">
        <v>816</v>
      </c>
      <c r="E314" s="147" t="s">
        <v>4</v>
      </c>
      <c r="F314" s="148">
        <f>3*1.1*3</f>
        <v>9.9</v>
      </c>
      <c r="G314" s="149"/>
      <c r="H314" s="135"/>
      <c r="I314" s="136"/>
      <c r="J314" s="17"/>
    </row>
    <row r="315" spans="2:10" ht="26">
      <c r="B315" s="173"/>
      <c r="C315" s="375"/>
      <c r="D315" s="146" t="s">
        <v>210</v>
      </c>
      <c r="E315" s="147" t="s">
        <v>4</v>
      </c>
      <c r="F315" s="148">
        <f>3*0.8*1</f>
        <v>2.4000000000000004</v>
      </c>
      <c r="G315" s="149"/>
      <c r="H315" s="135"/>
      <c r="I315" s="136"/>
      <c r="J315" s="17"/>
    </row>
    <row r="316" spans="2:10">
      <c r="B316" s="171"/>
      <c r="C316" s="375"/>
      <c r="D316" s="146" t="s">
        <v>286</v>
      </c>
      <c r="E316" s="45" t="s">
        <v>4</v>
      </c>
      <c r="F316" s="133">
        <f>F312</f>
        <v>17.100000000000001</v>
      </c>
      <c r="G316" s="149">
        <v>219</v>
      </c>
      <c r="H316" s="150">
        <f>F316*G316</f>
        <v>3744.9</v>
      </c>
      <c r="I316" s="151">
        <f>0*F316</f>
        <v>0</v>
      </c>
      <c r="J316" s="17"/>
    </row>
    <row r="317" spans="2:10">
      <c r="B317" s="173"/>
      <c r="C317" s="378"/>
      <c r="D317" s="146"/>
      <c r="E317" s="147"/>
      <c r="F317" s="148"/>
      <c r="G317" s="149"/>
      <c r="H317" s="150"/>
      <c r="I317" s="151"/>
      <c r="J317" s="17"/>
    </row>
    <row r="318" spans="2:10" ht="39">
      <c r="B318" s="172" t="s">
        <v>162</v>
      </c>
      <c r="C318" s="277"/>
      <c r="D318" s="153" t="s">
        <v>817</v>
      </c>
      <c r="E318" s="139" t="s">
        <v>4</v>
      </c>
      <c r="F318" s="133">
        <f>28*3+2.27</f>
        <v>86.27</v>
      </c>
      <c r="G318" s="141">
        <v>2000</v>
      </c>
      <c r="H318" s="150">
        <f>F318*G318</f>
        <v>172540</v>
      </c>
      <c r="I318" s="151">
        <f>0*F318</f>
        <v>0</v>
      </c>
      <c r="J318" s="17"/>
    </row>
    <row r="319" spans="2:10">
      <c r="B319" s="172"/>
      <c r="C319" s="277"/>
      <c r="D319" s="153" t="s">
        <v>287</v>
      </c>
      <c r="E319" s="139"/>
      <c r="F319" s="133"/>
      <c r="G319" s="141"/>
      <c r="H319" s="150"/>
      <c r="I319" s="151"/>
      <c r="J319" s="17"/>
    </row>
    <row r="320" spans="2:10">
      <c r="B320" s="171"/>
      <c r="C320" s="375"/>
      <c r="D320" s="138"/>
      <c r="E320" s="45"/>
      <c r="F320" s="133"/>
      <c r="G320" s="134"/>
      <c r="H320" s="135"/>
      <c r="I320" s="136"/>
      <c r="J320" s="17"/>
    </row>
    <row r="321" spans="2:10" ht="39">
      <c r="B321" s="172" t="s">
        <v>162</v>
      </c>
      <c r="C321" s="186" t="s">
        <v>289</v>
      </c>
      <c r="D321" s="175" t="s">
        <v>288</v>
      </c>
      <c r="E321" s="45" t="s">
        <v>4</v>
      </c>
      <c r="F321" s="133">
        <f>6*3</f>
        <v>18</v>
      </c>
      <c r="G321" s="134">
        <v>2000</v>
      </c>
      <c r="H321" s="135">
        <f>F321*G321</f>
        <v>36000</v>
      </c>
      <c r="I321" s="136">
        <f>0.0026*F321</f>
        <v>4.6799999999999994E-2</v>
      </c>
      <c r="J321" s="17"/>
    </row>
    <row r="322" spans="2:10">
      <c r="B322" s="171"/>
      <c r="C322" s="375"/>
      <c r="D322" s="144"/>
      <c r="E322" s="45"/>
      <c r="F322" s="133"/>
      <c r="G322" s="134"/>
      <c r="H322" s="135"/>
      <c r="I322" s="136"/>
      <c r="J322" s="17"/>
    </row>
    <row r="323" spans="2:10">
      <c r="B323" s="171"/>
      <c r="C323" s="375"/>
      <c r="D323" s="137" t="s">
        <v>217</v>
      </c>
      <c r="E323" s="45"/>
      <c r="F323" s="133"/>
      <c r="G323" s="134"/>
      <c r="H323" s="135"/>
      <c r="I323" s="136"/>
      <c r="J323" s="17"/>
    </row>
    <row r="324" spans="2:10">
      <c r="B324" s="171" t="s">
        <v>218</v>
      </c>
      <c r="C324" s="375"/>
      <c r="D324" s="144" t="s">
        <v>290</v>
      </c>
      <c r="E324" s="45" t="s">
        <v>10</v>
      </c>
      <c r="F324" s="133">
        <v>1.6592</v>
      </c>
      <c r="G324" s="134">
        <v>68300</v>
      </c>
      <c r="H324" s="135">
        <f>F324*G324</f>
        <v>113323.36</v>
      </c>
      <c r="I324" s="136">
        <f>1.04632*F324</f>
        <v>1.7360541439999999</v>
      </c>
      <c r="J324" s="17"/>
    </row>
    <row r="325" spans="2:10">
      <c r="B325" s="171"/>
      <c r="C325" s="375"/>
      <c r="D325" s="144"/>
      <c r="E325" s="45"/>
      <c r="F325" s="133"/>
      <c r="G325" s="134"/>
      <c r="H325" s="135"/>
      <c r="I325" s="136"/>
      <c r="J325" s="17"/>
    </row>
    <row r="326" spans="2:10" ht="14">
      <c r="B326" s="171"/>
      <c r="C326" s="375"/>
      <c r="D326" s="54" t="s">
        <v>220</v>
      </c>
      <c r="E326" s="45"/>
      <c r="F326" s="133"/>
      <c r="G326" s="134"/>
      <c r="H326" s="135"/>
      <c r="I326" s="136"/>
      <c r="J326" s="17"/>
    </row>
    <row r="327" spans="2:10">
      <c r="B327" s="171"/>
      <c r="C327" s="375"/>
      <c r="D327" s="174" t="s">
        <v>221</v>
      </c>
      <c r="E327" s="45"/>
      <c r="F327" s="133"/>
      <c r="G327" s="134"/>
      <c r="H327" s="135"/>
      <c r="I327" s="136"/>
      <c r="J327" s="17"/>
    </row>
    <row r="328" spans="2:10">
      <c r="B328" s="171" t="s">
        <v>207</v>
      </c>
      <c r="C328" s="375"/>
      <c r="D328" s="144" t="s">
        <v>278</v>
      </c>
      <c r="E328" s="45" t="s">
        <v>8</v>
      </c>
      <c r="F328" s="133">
        <f>SUM(F329:F332)</f>
        <v>33.845200000000006</v>
      </c>
      <c r="G328" s="134">
        <v>3900</v>
      </c>
      <c r="H328" s="135">
        <f>F328*G328</f>
        <v>131996.28000000003</v>
      </c>
      <c r="I328" s="136">
        <f>2.50188*F328</f>
        <v>84.676628976000003</v>
      </c>
      <c r="J328" s="17"/>
    </row>
    <row r="329" spans="2:10">
      <c r="B329" s="171"/>
      <c r="C329" s="380" t="s">
        <v>291</v>
      </c>
      <c r="D329" s="187" t="s">
        <v>292</v>
      </c>
      <c r="E329" s="45"/>
      <c r="F329" s="133">
        <f>2.4*2.8-2.2*1.35*0.2</f>
        <v>6.1259999999999994</v>
      </c>
      <c r="G329" s="134"/>
      <c r="H329" s="135"/>
      <c r="I329" s="136"/>
      <c r="J329" s="17"/>
    </row>
    <row r="330" spans="2:10" ht="26">
      <c r="B330" s="171"/>
      <c r="C330" s="375" t="s">
        <v>293</v>
      </c>
      <c r="D330" s="187" t="s">
        <v>294</v>
      </c>
      <c r="E330" s="45"/>
      <c r="F330" s="133">
        <f>5.3*4.26-(0.835*5.2*0.2*2+0.2*5.2*0.2+3.15*0.2*0.2)</f>
        <v>20.507200000000001</v>
      </c>
      <c r="G330" s="134"/>
      <c r="H330" s="135"/>
      <c r="I330" s="136"/>
      <c r="J330" s="17"/>
    </row>
    <row r="331" spans="2:10">
      <c r="B331" s="171"/>
      <c r="C331" s="375" t="s">
        <v>295</v>
      </c>
      <c r="D331" s="155" t="s">
        <v>296</v>
      </c>
      <c r="E331" s="45"/>
      <c r="F331" s="133">
        <f>2.7*2.8-2.2*2.7*0.2</f>
        <v>6.371999999999999</v>
      </c>
      <c r="G331" s="134"/>
      <c r="H331" s="135"/>
      <c r="I331" s="136"/>
      <c r="J331" s="17"/>
    </row>
    <row r="332" spans="2:10">
      <c r="B332" s="171"/>
      <c r="C332" s="375"/>
      <c r="D332" s="155" t="s">
        <v>297</v>
      </c>
      <c r="E332" s="45"/>
      <c r="F332" s="133">
        <f>1.4*0.2*3</f>
        <v>0.83999999999999986</v>
      </c>
      <c r="G332" s="134"/>
      <c r="H332" s="135"/>
      <c r="I332" s="136"/>
      <c r="J332" s="17"/>
    </row>
    <row r="333" spans="2:10">
      <c r="B333" s="171" t="s">
        <v>211</v>
      </c>
      <c r="C333" s="375"/>
      <c r="D333" s="144" t="s">
        <v>212</v>
      </c>
      <c r="E333" s="45" t="s">
        <v>4</v>
      </c>
      <c r="F333" s="133">
        <f>SUM(F334:F338)</f>
        <v>315.07600000000002</v>
      </c>
      <c r="G333" s="134">
        <v>518</v>
      </c>
      <c r="H333" s="135">
        <f>F333*G333</f>
        <v>163209.36800000002</v>
      </c>
      <c r="I333" s="136">
        <f>0.00275*F333</f>
        <v>0.86645899999999998</v>
      </c>
      <c r="J333" s="17"/>
    </row>
    <row r="334" spans="2:10" ht="26">
      <c r="B334" s="171"/>
      <c r="C334" s="375"/>
      <c r="D334" s="144" t="s">
        <v>298</v>
      </c>
      <c r="E334" s="45"/>
      <c r="F334" s="133">
        <f>28.4*2.7+28.4*2.4+41.4*5.3</f>
        <v>364.26</v>
      </c>
      <c r="G334" s="134"/>
      <c r="H334" s="135"/>
      <c r="I334" s="136"/>
      <c r="J334" s="17"/>
    </row>
    <row r="335" spans="2:10">
      <c r="B335" s="171"/>
      <c r="C335" s="375"/>
      <c r="D335" s="138" t="s">
        <v>299</v>
      </c>
      <c r="E335" s="45"/>
      <c r="F335" s="133">
        <f>-((2.2*2.7*2)+(2.2*1.35*2)+(0.835*5.2*2*2)+(0.2*5.2*2+3.15*0.2*2))</f>
        <v>-38.528000000000006</v>
      </c>
      <c r="G335" s="134"/>
      <c r="H335" s="135"/>
      <c r="I335" s="136"/>
      <c r="J335" s="17"/>
    </row>
    <row r="336" spans="2:10" ht="39">
      <c r="B336" s="171"/>
      <c r="C336" s="375"/>
      <c r="D336" s="138" t="s">
        <v>300</v>
      </c>
      <c r="E336" s="45"/>
      <c r="F336" s="133">
        <f>((2.2+2.7*2)*0.2)+(2.2*2+1.35*2)*0.2+(0.835+5.2*2)*0.2*2+(0.2+5.2*2+3.15*2+0.2*2)*0.2</f>
        <v>10.894</v>
      </c>
      <c r="G336" s="134"/>
      <c r="H336" s="135"/>
      <c r="I336" s="136"/>
      <c r="J336" s="17"/>
    </row>
    <row r="337" spans="2:10">
      <c r="B337" s="171"/>
      <c r="C337" s="375"/>
      <c r="D337" s="138" t="s">
        <v>301</v>
      </c>
      <c r="E337" s="45"/>
      <c r="F337" s="133">
        <f>-(4.08+17.27+8.48)</f>
        <v>-29.830000000000002</v>
      </c>
      <c r="G337" s="134"/>
      <c r="H337" s="135"/>
      <c r="I337" s="136"/>
      <c r="J337" s="17"/>
    </row>
    <row r="338" spans="2:10">
      <c r="B338" s="171"/>
      <c r="C338" s="375"/>
      <c r="D338" s="138" t="s">
        <v>302</v>
      </c>
      <c r="E338" s="45"/>
      <c r="F338" s="133">
        <f>13.8*0.2*3</f>
        <v>8.2800000000000011</v>
      </c>
      <c r="G338" s="134"/>
      <c r="H338" s="135"/>
      <c r="I338" s="136"/>
      <c r="J338" s="17"/>
    </row>
    <row r="339" spans="2:10">
      <c r="B339" s="171" t="s">
        <v>216</v>
      </c>
      <c r="C339" s="375"/>
      <c r="D339" s="138" t="s">
        <v>178</v>
      </c>
      <c r="E339" s="45" t="s">
        <v>4</v>
      </c>
      <c r="F339" s="133">
        <f>F333</f>
        <v>315.07600000000002</v>
      </c>
      <c r="G339" s="134">
        <v>140</v>
      </c>
      <c r="H339" s="135">
        <f>F339*G339</f>
        <v>44110.64</v>
      </c>
      <c r="I339" s="136">
        <f>0*F339</f>
        <v>0</v>
      </c>
      <c r="J339" s="17"/>
    </row>
    <row r="340" spans="2:10">
      <c r="B340" s="171"/>
      <c r="C340" s="375"/>
      <c r="D340" s="138"/>
      <c r="E340" s="45"/>
      <c r="F340" s="133"/>
      <c r="G340" s="134"/>
      <c r="H340" s="135"/>
      <c r="I340" s="136"/>
      <c r="J340" s="17"/>
    </row>
    <row r="341" spans="2:10" ht="26">
      <c r="B341" s="173" t="s">
        <v>303</v>
      </c>
      <c r="C341" s="379" t="s">
        <v>304</v>
      </c>
      <c r="D341" s="146" t="s">
        <v>305</v>
      </c>
      <c r="E341" s="147" t="s">
        <v>4</v>
      </c>
      <c r="F341" s="148">
        <f>SUM(F342:F344)</f>
        <v>29.830000000000002</v>
      </c>
      <c r="G341" s="149">
        <v>1010</v>
      </c>
      <c r="H341" s="150">
        <f>F341*G341</f>
        <v>30128.300000000003</v>
      </c>
      <c r="I341" s="151">
        <f>0.00408*F341</f>
        <v>0.12170640000000002</v>
      </c>
      <c r="J341" s="17"/>
    </row>
    <row r="342" spans="2:10" ht="52">
      <c r="B342" s="360"/>
      <c r="C342" s="381"/>
      <c r="D342" s="400" t="s">
        <v>818</v>
      </c>
      <c r="E342" s="147" t="s">
        <v>4</v>
      </c>
      <c r="F342" s="148">
        <f>0.8*(2.7+2.4)</f>
        <v>4.08</v>
      </c>
      <c r="G342" s="149"/>
      <c r="H342" s="150"/>
      <c r="I342" s="151"/>
      <c r="J342" s="17"/>
    </row>
    <row r="343" spans="2:10" ht="39">
      <c r="B343" s="360"/>
      <c r="C343" s="381"/>
      <c r="D343" s="146" t="s">
        <v>819</v>
      </c>
      <c r="E343" s="147" t="s">
        <v>4</v>
      </c>
      <c r="F343" s="148">
        <f>1.1*(2.4+2.7+5.3*2)</f>
        <v>17.27</v>
      </c>
      <c r="G343" s="149"/>
      <c r="H343" s="150"/>
      <c r="I343" s="151"/>
      <c r="J343" s="17"/>
    </row>
    <row r="344" spans="2:10" ht="26">
      <c r="B344" s="360"/>
      <c r="C344" s="381"/>
      <c r="D344" s="146" t="s">
        <v>306</v>
      </c>
      <c r="E344" s="147" t="s">
        <v>4</v>
      </c>
      <c r="F344" s="148">
        <f>0.8*5.3*2</f>
        <v>8.48</v>
      </c>
      <c r="G344" s="149"/>
      <c r="H344" s="150"/>
      <c r="I344" s="151"/>
      <c r="J344" s="17"/>
    </row>
    <row r="345" spans="2:10">
      <c r="B345" s="173" t="s">
        <v>307</v>
      </c>
      <c r="C345" s="378"/>
      <c r="D345" s="146" t="s">
        <v>286</v>
      </c>
      <c r="E345" s="147" t="s">
        <v>4</v>
      </c>
      <c r="F345" s="148">
        <f>F341</f>
        <v>29.830000000000002</v>
      </c>
      <c r="G345" s="149">
        <v>219</v>
      </c>
      <c r="H345" s="150">
        <f>F345*G345</f>
        <v>6532.77</v>
      </c>
      <c r="I345" s="151">
        <f>0*F345</f>
        <v>0</v>
      </c>
      <c r="J345" s="17"/>
    </row>
    <row r="346" spans="2:10">
      <c r="B346" s="171"/>
      <c r="C346" s="375"/>
      <c r="D346" s="138"/>
      <c r="E346" s="45"/>
      <c r="F346" s="133"/>
      <c r="G346" s="134"/>
      <c r="H346" s="135"/>
      <c r="I346" s="136"/>
      <c r="J346" s="17"/>
    </row>
    <row r="347" spans="2:10" ht="26">
      <c r="B347" s="360"/>
      <c r="C347" s="381"/>
      <c r="D347" s="153" t="s">
        <v>820</v>
      </c>
      <c r="E347" s="45" t="s">
        <v>4</v>
      </c>
      <c r="F347" s="133">
        <f>SUM(F348:F350)</f>
        <v>120.807</v>
      </c>
      <c r="G347" s="134">
        <v>2000</v>
      </c>
      <c r="H347" s="135">
        <f>F347*G347</f>
        <v>241614</v>
      </c>
      <c r="I347" s="188">
        <f>0*F347</f>
        <v>0</v>
      </c>
      <c r="J347" s="17"/>
    </row>
    <row r="348" spans="2:10" ht="26">
      <c r="B348" s="360"/>
      <c r="C348" s="381"/>
      <c r="D348" s="153" t="s">
        <v>308</v>
      </c>
      <c r="E348" s="45"/>
      <c r="F348" s="133">
        <f>20.1*5.3+3.27*2.7+3.27*2.4</f>
        <v>123.20700000000001</v>
      </c>
      <c r="G348" s="134"/>
      <c r="H348" s="135"/>
      <c r="I348" s="188"/>
      <c r="J348" s="17"/>
    </row>
    <row r="349" spans="2:10">
      <c r="B349" s="360"/>
      <c r="C349" s="381"/>
      <c r="D349" s="187" t="s">
        <v>309</v>
      </c>
      <c r="E349" s="189"/>
      <c r="F349" s="190">
        <f>-(0.835*5.2*2+(0.2*5.2+3.15*0.2))</f>
        <v>-10.353999999999999</v>
      </c>
      <c r="G349" s="191"/>
      <c r="H349" s="192"/>
      <c r="I349" s="188"/>
      <c r="J349" s="17"/>
    </row>
    <row r="350" spans="2:10">
      <c r="B350" s="360"/>
      <c r="C350" s="381"/>
      <c r="D350" s="187" t="s">
        <v>310</v>
      </c>
      <c r="E350" s="189"/>
      <c r="F350" s="190">
        <f>(0.835+5.2*2)*0.2*2+(0.2+5.2*2+3.15*2+0.2*2)*0.2</f>
        <v>7.9539999999999988</v>
      </c>
      <c r="G350" s="191"/>
      <c r="H350" s="192"/>
      <c r="I350" s="188"/>
      <c r="J350" s="17"/>
    </row>
    <row r="351" spans="2:10" ht="26">
      <c r="B351" s="360"/>
      <c r="C351" s="381"/>
      <c r="D351" s="153" t="s">
        <v>311</v>
      </c>
      <c r="E351" s="193" t="s">
        <v>4</v>
      </c>
      <c r="F351" s="194">
        <f>6*5.74</f>
        <v>34.44</v>
      </c>
      <c r="G351" s="195">
        <v>2000</v>
      </c>
      <c r="H351" s="196">
        <f>F351*G351</f>
        <v>68880</v>
      </c>
      <c r="I351" s="188">
        <f>0*F351</f>
        <v>0</v>
      </c>
      <c r="J351" s="17"/>
    </row>
    <row r="352" spans="2:10">
      <c r="B352" s="171"/>
      <c r="C352" s="375"/>
      <c r="D352" s="138"/>
      <c r="E352" s="45"/>
      <c r="F352" s="133"/>
      <c r="G352" s="134"/>
      <c r="H352" s="135"/>
      <c r="I352" s="136"/>
      <c r="J352" s="17"/>
    </row>
    <row r="353" spans="2:10">
      <c r="B353" s="171"/>
      <c r="C353" s="375"/>
      <c r="D353" s="174" t="s">
        <v>222</v>
      </c>
      <c r="E353" s="45"/>
      <c r="F353" s="133"/>
      <c r="G353" s="134"/>
      <c r="H353" s="135">
        <f>F353*G353</f>
        <v>0</v>
      </c>
      <c r="I353" s="136"/>
      <c r="J353" s="17"/>
    </row>
    <row r="354" spans="2:10">
      <c r="B354" s="171" t="s">
        <v>218</v>
      </c>
      <c r="C354" s="375"/>
      <c r="D354" s="144" t="s">
        <v>279</v>
      </c>
      <c r="E354" s="45" t="s">
        <v>10</v>
      </c>
      <c r="F354" s="133">
        <v>2.3751099999999998</v>
      </c>
      <c r="G354" s="134">
        <v>68300</v>
      </c>
      <c r="H354" s="135">
        <f>F354*G354</f>
        <v>162220.01299999998</v>
      </c>
      <c r="I354" s="136">
        <f>1.04632*F354</f>
        <v>2.4851250951999995</v>
      </c>
      <c r="J354" s="17"/>
    </row>
    <row r="355" spans="2:10">
      <c r="B355" s="171"/>
      <c r="C355" s="375"/>
      <c r="D355" s="144"/>
      <c r="E355" s="45"/>
      <c r="F355" s="133"/>
      <c r="G355" s="134"/>
      <c r="H355" s="135"/>
      <c r="I355" s="136"/>
      <c r="J355" s="17"/>
    </row>
    <row r="356" spans="2:10" ht="15">
      <c r="B356" s="171"/>
      <c r="C356" s="375"/>
      <c r="D356" s="78" t="s">
        <v>312</v>
      </c>
      <c r="E356" s="45"/>
      <c r="F356" s="133"/>
      <c r="G356" s="134"/>
      <c r="H356" s="135"/>
      <c r="I356" s="136"/>
      <c r="J356" s="13"/>
    </row>
    <row r="357" spans="2:10" ht="14">
      <c r="B357" s="171"/>
      <c r="C357" s="375"/>
      <c r="D357" s="54" t="s">
        <v>281</v>
      </c>
      <c r="E357" s="45"/>
      <c r="F357" s="133"/>
      <c r="G357" s="134"/>
      <c r="H357" s="135"/>
      <c r="I357" s="136"/>
      <c r="J357" s="13"/>
    </row>
    <row r="358" spans="2:10">
      <c r="B358" s="171"/>
      <c r="C358" s="375"/>
      <c r="D358" s="174" t="s">
        <v>280</v>
      </c>
      <c r="E358" s="45"/>
      <c r="F358" s="133"/>
      <c r="G358" s="134"/>
      <c r="H358" s="135"/>
      <c r="I358" s="136"/>
      <c r="J358" s="13"/>
    </row>
    <row r="359" spans="2:10">
      <c r="B359" s="171"/>
      <c r="C359" s="375"/>
      <c r="D359" s="174"/>
      <c r="E359" s="45"/>
      <c r="F359" s="133"/>
      <c r="G359" s="134"/>
      <c r="H359" s="135"/>
      <c r="I359" s="136"/>
      <c r="J359" s="13"/>
    </row>
    <row r="360" spans="2:10">
      <c r="B360" s="171" t="s">
        <v>223</v>
      </c>
      <c r="C360" s="375"/>
      <c r="D360" s="138" t="s">
        <v>313</v>
      </c>
      <c r="E360" s="45" t="s">
        <v>8</v>
      </c>
      <c r="F360" s="162">
        <f>SUM(F361:F362)</f>
        <v>1.2977399999999999</v>
      </c>
      <c r="G360" s="134">
        <v>3740</v>
      </c>
      <c r="H360" s="135">
        <f>F360*G360</f>
        <v>4853.5475999999999</v>
      </c>
      <c r="I360" s="136">
        <f>2.50201*F360</f>
        <v>3.2469584573999994</v>
      </c>
      <c r="J360" s="13"/>
    </row>
    <row r="361" spans="2:10" ht="26">
      <c r="B361" s="171"/>
      <c r="C361" s="375"/>
      <c r="D361" s="138" t="s">
        <v>314</v>
      </c>
      <c r="E361" s="45"/>
      <c r="F361" s="133">
        <f>2.68*2.52*0.15+0.82*2.9*0.15</f>
        <v>1.36974</v>
      </c>
      <c r="G361" s="134"/>
      <c r="H361" s="135"/>
      <c r="I361" s="136"/>
      <c r="J361" s="13"/>
    </row>
    <row r="362" spans="2:10">
      <c r="B362" s="171"/>
      <c r="C362" s="375"/>
      <c r="D362" s="138" t="s">
        <v>315</v>
      </c>
      <c r="E362" s="45"/>
      <c r="F362" s="133">
        <f>-0.6*0.8*0.15</f>
        <v>-7.1999999999999995E-2</v>
      </c>
      <c r="G362" s="134"/>
      <c r="H362" s="135"/>
      <c r="I362" s="136"/>
      <c r="J362" s="13"/>
    </row>
    <row r="363" spans="2:10">
      <c r="B363" s="171"/>
      <c r="C363" s="375"/>
      <c r="D363" s="144"/>
      <c r="E363" s="45"/>
      <c r="F363" s="133"/>
      <c r="G363" s="134"/>
      <c r="H363" s="135"/>
      <c r="I363" s="136"/>
      <c r="J363" s="13"/>
    </row>
    <row r="364" spans="2:10">
      <c r="B364" s="171" t="s">
        <v>175</v>
      </c>
      <c r="C364" s="375"/>
      <c r="D364" s="144" t="s">
        <v>224</v>
      </c>
      <c r="E364" s="45" t="s">
        <v>4</v>
      </c>
      <c r="F364" s="162">
        <f>SUM(F365:F367)</f>
        <v>13.476600000000001</v>
      </c>
      <c r="G364" s="134">
        <v>522</v>
      </c>
      <c r="H364" s="135">
        <f>F364*G364</f>
        <v>7034.7852000000003</v>
      </c>
      <c r="I364" s="136">
        <f>0.00533*F364</f>
        <v>7.1830277999999997E-2</v>
      </c>
      <c r="J364" s="13"/>
    </row>
    <row r="365" spans="2:10">
      <c r="B365" s="171"/>
      <c r="C365" s="375"/>
      <c r="D365" s="138" t="s">
        <v>316</v>
      </c>
      <c r="E365" s="45"/>
      <c r="F365" s="133">
        <f>2.68*2.52+(2.68+2.52)*2*0.15+(0.82+0.65)*2.9</f>
        <v>12.576600000000001</v>
      </c>
      <c r="G365" s="134"/>
      <c r="H365" s="135"/>
      <c r="I365" s="136"/>
      <c r="J365" s="13"/>
    </row>
    <row r="366" spans="2:10">
      <c r="B366" s="171"/>
      <c r="C366" s="375"/>
      <c r="D366" s="138" t="s">
        <v>317</v>
      </c>
      <c r="E366" s="45"/>
      <c r="F366" s="133">
        <f>0.6*0.8</f>
        <v>0.48</v>
      </c>
      <c r="G366" s="134"/>
      <c r="H366" s="135"/>
      <c r="I366" s="136"/>
      <c r="J366" s="13"/>
    </row>
    <row r="367" spans="2:10">
      <c r="B367" s="171"/>
      <c r="C367" s="375"/>
      <c r="D367" s="138" t="s">
        <v>318</v>
      </c>
      <c r="E367" s="45"/>
      <c r="F367" s="133">
        <f>(0.6+0.8)*2*0.15</f>
        <v>0.42</v>
      </c>
      <c r="G367" s="134"/>
      <c r="H367" s="135"/>
      <c r="I367" s="136"/>
      <c r="J367" s="13"/>
    </row>
    <row r="368" spans="2:10">
      <c r="B368" s="171" t="s">
        <v>177</v>
      </c>
      <c r="C368" s="375"/>
      <c r="D368" s="138" t="s">
        <v>178</v>
      </c>
      <c r="E368" s="45" t="s">
        <v>4</v>
      </c>
      <c r="F368" s="162">
        <f>F364</f>
        <v>13.476600000000001</v>
      </c>
      <c r="G368" s="134">
        <v>132</v>
      </c>
      <c r="H368" s="135">
        <f>F368*G368</f>
        <v>1778.9112000000002</v>
      </c>
      <c r="I368" s="136">
        <f>0*F368</f>
        <v>0</v>
      </c>
      <c r="J368" s="13"/>
    </row>
    <row r="369" spans="2:10">
      <c r="B369" s="171"/>
      <c r="C369" s="375"/>
      <c r="D369" s="144"/>
      <c r="E369" s="45"/>
      <c r="F369" s="133"/>
      <c r="G369" s="134"/>
      <c r="H369" s="135"/>
      <c r="I369" s="136"/>
      <c r="J369" s="13"/>
    </row>
    <row r="370" spans="2:10">
      <c r="B370" s="171" t="s">
        <v>182</v>
      </c>
      <c r="C370" s="375"/>
      <c r="D370" s="132" t="s">
        <v>190</v>
      </c>
      <c r="E370" s="45" t="s">
        <v>4</v>
      </c>
      <c r="F370" s="162">
        <f>F364</f>
        <v>13.476600000000001</v>
      </c>
      <c r="G370" s="134">
        <v>195</v>
      </c>
      <c r="H370" s="135">
        <f>F370*G370</f>
        <v>2627.9370000000004</v>
      </c>
      <c r="I370" s="136">
        <f>0.00088*F370</f>
        <v>1.1859408000000002E-2</v>
      </c>
      <c r="J370" s="13"/>
    </row>
    <row r="371" spans="2:10">
      <c r="B371" s="171"/>
      <c r="C371" s="375"/>
      <c r="D371" s="138" t="s">
        <v>178</v>
      </c>
      <c r="E371" s="45" t="s">
        <v>4</v>
      </c>
      <c r="F371" s="162">
        <f>F370</f>
        <v>13.476600000000001</v>
      </c>
      <c r="G371" s="134">
        <v>61.3</v>
      </c>
      <c r="H371" s="135">
        <f>F371*G371</f>
        <v>826.11558000000002</v>
      </c>
      <c r="I371" s="136">
        <f>0*F371</f>
        <v>0</v>
      </c>
      <c r="J371" s="13"/>
    </row>
    <row r="372" spans="2:10" ht="39">
      <c r="B372" s="171" t="s">
        <v>319</v>
      </c>
      <c r="C372" s="382"/>
      <c r="D372" s="166" t="s">
        <v>320</v>
      </c>
      <c r="E372" s="45" t="s">
        <v>4</v>
      </c>
      <c r="F372" s="162">
        <f>2.68*2.52</f>
        <v>6.7536000000000005</v>
      </c>
      <c r="G372" s="134">
        <v>2000</v>
      </c>
      <c r="H372" s="135">
        <f>F372*G372</f>
        <v>13507.2</v>
      </c>
      <c r="I372" s="136">
        <f>0*F372</f>
        <v>0</v>
      </c>
      <c r="J372" s="13"/>
    </row>
    <row r="373" spans="2:10">
      <c r="B373" s="171"/>
      <c r="C373" s="375"/>
      <c r="D373" s="144"/>
      <c r="E373" s="45"/>
      <c r="F373" s="133"/>
      <c r="G373" s="134"/>
      <c r="H373" s="135"/>
      <c r="I373" s="136"/>
      <c r="J373" s="13"/>
    </row>
    <row r="374" spans="2:10">
      <c r="B374" s="171" t="s">
        <v>207</v>
      </c>
      <c r="C374" s="375"/>
      <c r="D374" s="144" t="s">
        <v>321</v>
      </c>
      <c r="E374" s="45" t="s">
        <v>8</v>
      </c>
      <c r="F374" s="162">
        <f>SUM(F375:F376)</f>
        <v>13.81344</v>
      </c>
      <c r="G374" s="134">
        <v>3900</v>
      </c>
      <c r="H374" s="135">
        <f>F374*G374</f>
        <v>53872.415999999997</v>
      </c>
      <c r="I374" s="136">
        <f>2.50188*F374</f>
        <v>34.559569267199997</v>
      </c>
      <c r="J374" s="13"/>
    </row>
    <row r="375" spans="2:10">
      <c r="B375" s="171"/>
      <c r="C375" s="375"/>
      <c r="D375" s="155" t="s">
        <v>322</v>
      </c>
      <c r="E375" s="45"/>
      <c r="F375" s="133">
        <f>1.6*8.75+0.72*0.71</f>
        <v>14.511200000000001</v>
      </c>
      <c r="G375" s="134"/>
      <c r="H375" s="135"/>
      <c r="I375" s="136"/>
      <c r="J375" s="13"/>
    </row>
    <row r="376" spans="2:10">
      <c r="B376" s="171"/>
      <c r="C376" s="375"/>
      <c r="D376" s="155" t="s">
        <v>323</v>
      </c>
      <c r="E376" s="45"/>
      <c r="F376" s="133">
        <f>(1.04*2.35-( 1.74*1.03*2+2.28*1.03))*0.2</f>
        <v>-0.69776000000000005</v>
      </c>
      <c r="G376" s="134"/>
      <c r="H376" s="135"/>
      <c r="I376" s="136"/>
      <c r="J376" s="13"/>
    </row>
    <row r="377" spans="2:10">
      <c r="B377" s="171"/>
      <c r="C377" s="375"/>
      <c r="D377" s="144"/>
      <c r="E377" s="45"/>
      <c r="F377" s="133"/>
      <c r="G377" s="134"/>
      <c r="H377" s="135"/>
      <c r="I377" s="136"/>
      <c r="J377" s="13"/>
    </row>
    <row r="378" spans="2:10">
      <c r="B378" s="171" t="s">
        <v>211</v>
      </c>
      <c r="C378" s="375"/>
      <c r="D378" s="144" t="s">
        <v>212</v>
      </c>
      <c r="E378" s="45" t="s">
        <v>4</v>
      </c>
      <c r="F378" s="162">
        <f>SUM(F379:F383)</f>
        <v>135.32289999999998</v>
      </c>
      <c r="G378" s="134">
        <v>518</v>
      </c>
      <c r="H378" s="135">
        <f>F378*G378</f>
        <v>70097.262199999983</v>
      </c>
      <c r="I378" s="136">
        <f>0.00275*F378</f>
        <v>0.3721379749999999</v>
      </c>
      <c r="J378" s="13"/>
    </row>
    <row r="379" spans="2:10">
      <c r="B379" s="171"/>
      <c r="C379" s="375"/>
      <c r="D379" s="155" t="s">
        <v>324</v>
      </c>
      <c r="E379" s="45"/>
      <c r="F379" s="197">
        <f>16.35*8.75</f>
        <v>143.0625</v>
      </c>
      <c r="G379" s="134"/>
      <c r="H379" s="135"/>
      <c r="I379" s="136"/>
      <c r="J379" s="13"/>
    </row>
    <row r="380" spans="2:10">
      <c r="B380" s="171"/>
      <c r="C380" s="375"/>
      <c r="D380" s="138" t="s">
        <v>325</v>
      </c>
      <c r="E380" s="45"/>
      <c r="F380" s="197">
        <f>-(1.74*2+2.28)*1.03*2</f>
        <v>-11.865600000000001</v>
      </c>
      <c r="G380" s="134"/>
      <c r="H380" s="135"/>
      <c r="I380" s="136"/>
      <c r="J380" s="13"/>
    </row>
    <row r="381" spans="2:10">
      <c r="B381" s="171"/>
      <c r="C381" s="375"/>
      <c r="D381" s="138" t="s">
        <v>326</v>
      </c>
      <c r="E381" s="45"/>
      <c r="F381" s="197">
        <f>-(1.04*2.35)*2</f>
        <v>-4.8880000000000008</v>
      </c>
      <c r="G381" s="134"/>
      <c r="H381" s="135"/>
      <c r="I381" s="136"/>
      <c r="J381" s="13"/>
    </row>
    <row r="382" spans="2:10">
      <c r="B382" s="171"/>
      <c r="C382" s="375"/>
      <c r="D382" s="138" t="s">
        <v>327</v>
      </c>
      <c r="E382" s="45"/>
      <c r="F382" s="138">
        <f>(1.74*2+2.28+1.03*3)*2*0.2+(1.04+2.35)*2*0.2</f>
        <v>4.8959999999999999</v>
      </c>
      <c r="G382" s="134"/>
      <c r="H382" s="135"/>
      <c r="I382" s="136"/>
      <c r="J382" s="13"/>
    </row>
    <row r="383" spans="2:10">
      <c r="B383" s="171"/>
      <c r="C383" s="375"/>
      <c r="D383" s="138" t="s">
        <v>328</v>
      </c>
      <c r="E383" s="45"/>
      <c r="F383" s="197">
        <f>0.71*2.9*2</f>
        <v>4.1179999999999994</v>
      </c>
      <c r="G383" s="134"/>
      <c r="H383" s="135"/>
      <c r="I383" s="136"/>
      <c r="J383" s="13"/>
    </row>
    <row r="384" spans="2:10">
      <c r="B384" s="171"/>
      <c r="C384" s="375"/>
      <c r="D384" s="144"/>
      <c r="E384" s="45"/>
      <c r="F384" s="133"/>
      <c r="G384" s="134"/>
      <c r="H384" s="135"/>
      <c r="I384" s="136"/>
      <c r="J384" s="13"/>
    </row>
    <row r="385" spans="2:10">
      <c r="B385" s="171" t="s">
        <v>216</v>
      </c>
      <c r="C385" s="375"/>
      <c r="D385" s="138" t="s">
        <v>178</v>
      </c>
      <c r="E385" s="45" t="s">
        <v>4</v>
      </c>
      <c r="F385" s="162">
        <f>F378</f>
        <v>135.32289999999998</v>
      </c>
      <c r="G385" s="134">
        <v>140</v>
      </c>
      <c r="H385" s="135">
        <f>F385*G385</f>
        <v>18945.205999999998</v>
      </c>
      <c r="I385" s="136">
        <f>0*F385</f>
        <v>0</v>
      </c>
      <c r="J385" s="13"/>
    </row>
    <row r="386" spans="2:10">
      <c r="B386" s="171"/>
      <c r="C386" s="375"/>
      <c r="D386" s="138"/>
      <c r="E386" s="45"/>
      <c r="F386" s="133"/>
      <c r="G386" s="134"/>
      <c r="H386" s="135"/>
      <c r="I386" s="136"/>
      <c r="J386" s="13"/>
    </row>
    <row r="387" spans="2:10" ht="26">
      <c r="B387" s="171"/>
      <c r="C387" s="375"/>
      <c r="D387" s="175" t="s">
        <v>329</v>
      </c>
      <c r="E387" s="45" t="s">
        <v>4</v>
      </c>
      <c r="F387" s="133">
        <f>SUM(F388:F392)</f>
        <v>61.158199999999994</v>
      </c>
      <c r="G387" s="134">
        <v>2000</v>
      </c>
      <c r="H387" s="135">
        <f>F387*G387</f>
        <v>122316.4</v>
      </c>
      <c r="I387" s="136">
        <f>0.0026*F387</f>
        <v>0.15901131999999998</v>
      </c>
      <c r="J387" s="13"/>
    </row>
    <row r="388" spans="2:10">
      <c r="B388" s="171"/>
      <c r="C388" s="375"/>
      <c r="D388" s="138" t="s">
        <v>330</v>
      </c>
      <c r="E388" s="45"/>
      <c r="F388" s="138">
        <f>6.92*8.75+0.71*2.9</f>
        <v>62.608999999999995</v>
      </c>
      <c r="G388" s="134"/>
      <c r="H388" s="135"/>
      <c r="I388" s="136"/>
      <c r="J388" s="13"/>
    </row>
    <row r="389" spans="2:10">
      <c r="B389" s="171"/>
      <c r="C389" s="375"/>
      <c r="D389" s="138" t="s">
        <v>331</v>
      </c>
      <c r="E389" s="45"/>
      <c r="F389" s="138">
        <f xml:space="preserve"> -(1.74*2+2.28)*1.03</f>
        <v>-5.9328000000000003</v>
      </c>
      <c r="G389" s="134"/>
      <c r="H389" s="135"/>
      <c r="I389" s="136"/>
      <c r="J389" s="13"/>
    </row>
    <row r="390" spans="2:10">
      <c r="B390" s="171"/>
      <c r="C390" s="375"/>
      <c r="D390" s="138" t="s">
        <v>332</v>
      </c>
      <c r="E390" s="45"/>
      <c r="F390" s="138">
        <f>-(1.04*2.35)*1</f>
        <v>-2.4440000000000004</v>
      </c>
      <c r="G390" s="134"/>
      <c r="H390" s="135"/>
      <c r="I390" s="136"/>
      <c r="J390" s="13"/>
    </row>
    <row r="391" spans="2:10">
      <c r="B391" s="171"/>
      <c r="C391" s="375"/>
      <c r="D391" s="138" t="s">
        <v>333</v>
      </c>
      <c r="E391" s="45"/>
      <c r="F391" s="138">
        <f>(1.74*2+2.28+1.03*3)*2*0.2+(1.04+2.35)*2*0.2</f>
        <v>4.8959999999999999</v>
      </c>
      <c r="G391" s="134"/>
      <c r="H391" s="135"/>
      <c r="I391" s="136"/>
      <c r="J391" s="13"/>
    </row>
    <row r="392" spans="2:10">
      <c r="B392" s="171"/>
      <c r="C392" s="375"/>
      <c r="D392" s="138" t="s">
        <v>334</v>
      </c>
      <c r="E392" s="45"/>
      <c r="F392" s="197">
        <f>0.7*2.9</f>
        <v>2.0299999999999998</v>
      </c>
      <c r="G392" s="134"/>
      <c r="H392" s="135"/>
      <c r="I392" s="136"/>
      <c r="J392" s="13"/>
    </row>
    <row r="393" spans="2:10">
      <c r="B393" s="171"/>
      <c r="C393" s="375"/>
      <c r="D393" s="138"/>
      <c r="E393" s="45"/>
      <c r="F393" s="197"/>
      <c r="G393" s="134"/>
      <c r="H393" s="135"/>
      <c r="I393" s="136"/>
      <c r="J393" s="13"/>
    </row>
    <row r="394" spans="2:10">
      <c r="B394" s="171"/>
      <c r="C394" s="375"/>
      <c r="D394" s="138" t="s">
        <v>335</v>
      </c>
      <c r="E394" s="45"/>
      <c r="F394" s="197"/>
      <c r="G394" s="134"/>
      <c r="H394" s="135"/>
      <c r="I394" s="136"/>
      <c r="J394" s="13"/>
    </row>
    <row r="395" spans="2:10">
      <c r="B395" s="171"/>
      <c r="C395" s="375"/>
      <c r="D395" s="144"/>
      <c r="E395" s="45"/>
      <c r="F395" s="133"/>
      <c r="G395" s="134"/>
      <c r="H395" s="135"/>
      <c r="I395" s="136"/>
      <c r="J395" s="13"/>
    </row>
    <row r="396" spans="2:10" ht="26">
      <c r="B396" s="171"/>
      <c r="C396" s="375"/>
      <c r="D396" s="164" t="s">
        <v>336</v>
      </c>
      <c r="E396" s="45"/>
      <c r="F396" s="133"/>
      <c r="G396" s="134"/>
      <c r="H396" s="135"/>
      <c r="I396" s="136"/>
      <c r="J396" s="13"/>
    </row>
    <row r="397" spans="2:10">
      <c r="B397" s="172" t="s">
        <v>218</v>
      </c>
      <c r="C397" s="376"/>
      <c r="D397" s="132" t="s">
        <v>219</v>
      </c>
      <c r="E397" s="139" t="s">
        <v>10</v>
      </c>
      <c r="F397" s="198">
        <f>1.7972-F398</f>
        <v>1.2147999999999999</v>
      </c>
      <c r="G397" s="141">
        <v>68300</v>
      </c>
      <c r="H397" s="142">
        <f>F397*G397</f>
        <v>82970.84</v>
      </c>
      <c r="I397" s="143">
        <f>1.04632*F397</f>
        <v>1.2710695359999997</v>
      </c>
      <c r="J397" s="13"/>
    </row>
    <row r="398" spans="2:10">
      <c r="B398" s="171" t="s">
        <v>337</v>
      </c>
      <c r="C398" s="375"/>
      <c r="D398" s="144" t="s">
        <v>338</v>
      </c>
      <c r="E398" s="45" t="s">
        <v>10</v>
      </c>
      <c r="F398" s="199">
        <v>0.58240000000000003</v>
      </c>
      <c r="G398" s="134">
        <v>49900</v>
      </c>
      <c r="H398" s="142">
        <f>F398*G398</f>
        <v>29061.760000000002</v>
      </c>
      <c r="I398" s="136">
        <f>1.06277*F398</f>
        <v>0.61895724800000007</v>
      </c>
      <c r="J398" s="13"/>
    </row>
    <row r="399" spans="2:10">
      <c r="B399" s="171"/>
      <c r="C399" s="375"/>
      <c r="D399" s="144"/>
      <c r="E399" s="45"/>
      <c r="F399" s="199"/>
      <c r="G399" s="134"/>
      <c r="H399" s="142"/>
      <c r="I399" s="136"/>
      <c r="J399" s="13"/>
    </row>
    <row r="400" spans="2:10" ht="15">
      <c r="B400" s="171"/>
      <c r="C400" s="375"/>
      <c r="D400" s="78" t="s">
        <v>368</v>
      </c>
      <c r="E400" s="76" t="s">
        <v>59</v>
      </c>
      <c r="F400" s="162" t="s">
        <v>60</v>
      </c>
      <c r="G400" s="322"/>
      <c r="H400" s="177">
        <f>SUM(H402:H452)</f>
        <v>125924.69304999999</v>
      </c>
      <c r="I400" s="177">
        <f>SUM(I402:I452)</f>
        <v>5.9488971650124975</v>
      </c>
      <c r="J400" s="13"/>
    </row>
    <row r="401" spans="2:10">
      <c r="B401" s="171"/>
      <c r="C401" s="375"/>
      <c r="D401" s="77" t="s">
        <v>339</v>
      </c>
      <c r="E401" s="45"/>
      <c r="F401" s="133"/>
      <c r="G401" s="134"/>
      <c r="H401" s="135"/>
      <c r="I401" s="136"/>
      <c r="J401" s="13"/>
    </row>
    <row r="402" spans="2:10">
      <c r="B402" s="171"/>
      <c r="C402" s="375"/>
      <c r="D402" s="163" t="s">
        <v>340</v>
      </c>
      <c r="E402" s="45"/>
      <c r="F402" s="133"/>
      <c r="G402" s="134"/>
      <c r="H402" s="135"/>
      <c r="I402" s="136"/>
      <c r="J402" s="13"/>
    </row>
    <row r="403" spans="2:10">
      <c r="B403" s="171" t="s">
        <v>341</v>
      </c>
      <c r="C403" s="375"/>
      <c r="D403" s="144" t="s">
        <v>342</v>
      </c>
      <c r="E403" s="45" t="s">
        <v>8</v>
      </c>
      <c r="F403" s="200">
        <f>3.14*0.15*0.15*3</f>
        <v>0.21194999999999997</v>
      </c>
      <c r="G403" s="134">
        <v>4280</v>
      </c>
      <c r="H403" s="142">
        <f>F403*G403</f>
        <v>907.14599999999984</v>
      </c>
      <c r="I403" s="136">
        <f>2.50187*F403</f>
        <v>0.53027134649999985</v>
      </c>
      <c r="J403" s="13"/>
    </row>
    <row r="404" spans="2:10">
      <c r="B404" s="171"/>
      <c r="C404" s="375"/>
      <c r="D404" s="138" t="s">
        <v>343</v>
      </c>
      <c r="E404" s="45"/>
      <c r="F404" s="133"/>
      <c r="G404" s="134"/>
      <c r="H404" s="135"/>
      <c r="I404" s="136"/>
      <c r="J404" s="13"/>
    </row>
    <row r="405" spans="2:10" ht="52">
      <c r="B405" s="171"/>
      <c r="C405" s="375"/>
      <c r="D405" s="138" t="s">
        <v>344</v>
      </c>
      <c r="E405" s="45" t="s">
        <v>8</v>
      </c>
      <c r="F405" s="133">
        <f>3.14*0.15*0.15*11.9</f>
        <v>0.8407349999999999</v>
      </c>
      <c r="G405" s="134">
        <v>4280</v>
      </c>
      <c r="H405" s="142">
        <f>F405*G405</f>
        <v>3598.3457999999996</v>
      </c>
      <c r="I405" s="136">
        <f>2.50187*F405</f>
        <v>2.1034096744499995</v>
      </c>
      <c r="J405" s="13"/>
    </row>
    <row r="406" spans="2:10">
      <c r="B406" s="171"/>
      <c r="C406" s="375"/>
      <c r="D406" s="144"/>
      <c r="E406" s="45"/>
      <c r="F406" s="133"/>
      <c r="G406" s="134"/>
      <c r="H406" s="135"/>
      <c r="I406" s="136"/>
      <c r="J406" s="13"/>
    </row>
    <row r="407" spans="2:10" ht="26">
      <c r="B407" s="171" t="s">
        <v>345</v>
      </c>
      <c r="C407" s="375"/>
      <c r="D407" s="144" t="s">
        <v>346</v>
      </c>
      <c r="E407" s="45" t="s">
        <v>4</v>
      </c>
      <c r="F407" s="199">
        <f>2*3.14*0.15*3</f>
        <v>2.8259999999999996</v>
      </c>
      <c r="G407" s="134">
        <v>2650</v>
      </c>
      <c r="H407" s="142">
        <f>F407*G407</f>
        <v>7488.8999999999987</v>
      </c>
      <c r="I407" s="136">
        <f>0.07476*F407</f>
        <v>0.21127175999999995</v>
      </c>
      <c r="J407" s="13"/>
    </row>
    <row r="408" spans="2:10">
      <c r="B408" s="171"/>
      <c r="C408" s="375"/>
      <c r="D408" s="144" t="s">
        <v>347</v>
      </c>
      <c r="E408" s="45"/>
      <c r="F408" s="199"/>
      <c r="G408" s="134"/>
      <c r="H408" s="142"/>
      <c r="I408" s="136"/>
      <c r="J408" s="13"/>
    </row>
    <row r="409" spans="2:10" ht="26">
      <c r="B409" s="171"/>
      <c r="C409" s="375"/>
      <c r="D409" s="138" t="s">
        <v>348</v>
      </c>
      <c r="E409" s="45" t="s">
        <v>4</v>
      </c>
      <c r="F409" s="199">
        <f>2* 3.14*0.15*11.9</f>
        <v>11.2098</v>
      </c>
      <c r="G409" s="134">
        <v>2650</v>
      </c>
      <c r="H409" s="142">
        <f>F409*G409</f>
        <v>29705.969999999998</v>
      </c>
      <c r="I409" s="136">
        <f>0.07476*F409</f>
        <v>0.83804464799999989</v>
      </c>
      <c r="J409" s="13"/>
    </row>
    <row r="410" spans="2:10">
      <c r="B410" s="171"/>
      <c r="C410" s="375"/>
      <c r="D410" s="144"/>
      <c r="E410" s="45"/>
      <c r="F410" s="199"/>
      <c r="G410" s="134"/>
      <c r="H410" s="142"/>
      <c r="I410" s="136"/>
      <c r="J410" s="13"/>
    </row>
    <row r="411" spans="2:10" ht="26">
      <c r="B411" s="171" t="s">
        <v>349</v>
      </c>
      <c r="C411" s="375"/>
      <c r="D411" s="144" t="s">
        <v>350</v>
      </c>
      <c r="E411" s="45" t="s">
        <v>2</v>
      </c>
      <c r="F411" s="133">
        <v>3</v>
      </c>
      <c r="G411" s="134">
        <v>56.4</v>
      </c>
      <c r="H411" s="142">
        <f>F411*G411</f>
        <v>169.2</v>
      </c>
      <c r="I411" s="136">
        <f>0*F411</f>
        <v>0</v>
      </c>
      <c r="J411" s="13"/>
    </row>
    <row r="412" spans="2:10">
      <c r="B412" s="171"/>
      <c r="C412" s="375"/>
      <c r="D412" s="144" t="s">
        <v>351</v>
      </c>
      <c r="E412" s="45"/>
      <c r="F412" s="133"/>
      <c r="G412" s="134"/>
      <c r="H412" s="142"/>
      <c r="I412" s="136"/>
      <c r="J412" s="13"/>
    </row>
    <row r="413" spans="2:10" ht="26">
      <c r="B413" s="171"/>
      <c r="C413" s="375"/>
      <c r="D413" s="138" t="s">
        <v>352</v>
      </c>
      <c r="E413" s="45" t="s">
        <v>2</v>
      </c>
      <c r="F413" s="133">
        <v>11.9</v>
      </c>
      <c r="G413" s="134">
        <v>2000</v>
      </c>
      <c r="H413" s="135">
        <f>F413*G413</f>
        <v>23800</v>
      </c>
      <c r="I413" s="136">
        <f>0.0026*F413</f>
        <v>3.0939999999999999E-2</v>
      </c>
    </row>
    <row r="414" spans="2:10">
      <c r="B414" s="171"/>
      <c r="C414" s="375"/>
      <c r="D414" s="144"/>
      <c r="E414" s="45"/>
      <c r="F414" s="133"/>
      <c r="G414" s="134"/>
      <c r="H414" s="135"/>
      <c r="I414" s="136"/>
    </row>
    <row r="415" spans="2:10">
      <c r="B415" s="172" t="s">
        <v>218</v>
      </c>
      <c r="C415" s="376"/>
      <c r="D415" s="132" t="s">
        <v>219</v>
      </c>
      <c r="E415" s="139" t="s">
        <v>10</v>
      </c>
      <c r="F415" s="201">
        <v>3.8129999999999997E-2</v>
      </c>
      <c r="G415" s="141">
        <v>68300</v>
      </c>
      <c r="H415" s="142">
        <f>F415*G415</f>
        <v>2604.279</v>
      </c>
      <c r="I415" s="143">
        <f>1.04632*F415</f>
        <v>3.9896181599999997E-2</v>
      </c>
    </row>
    <row r="416" spans="2:10" ht="26">
      <c r="B416" s="172"/>
      <c r="C416" s="376"/>
      <c r="D416" s="138" t="s">
        <v>353</v>
      </c>
      <c r="E416" s="139" t="s">
        <v>10</v>
      </c>
      <c r="F416" s="201">
        <f>0.03813*4</f>
        <v>0.15251999999999999</v>
      </c>
      <c r="G416" s="141">
        <v>68300</v>
      </c>
      <c r="H416" s="142">
        <f>F416*G416</f>
        <v>10417.116</v>
      </c>
      <c r="I416" s="143">
        <f>1.04632*F416</f>
        <v>0.15958472639999999</v>
      </c>
    </row>
    <row r="417" spans="2:9">
      <c r="B417" s="171"/>
      <c r="C417" s="375"/>
      <c r="D417" s="132"/>
      <c r="E417" s="45"/>
      <c r="F417" s="133"/>
      <c r="G417" s="134"/>
      <c r="H417" s="135"/>
      <c r="I417" s="136"/>
    </row>
    <row r="418" spans="2:9">
      <c r="B418" s="171"/>
      <c r="C418" s="375"/>
      <c r="D418" s="77" t="s">
        <v>354</v>
      </c>
      <c r="E418" s="45"/>
      <c r="F418" s="133"/>
      <c r="G418" s="134"/>
      <c r="H418" s="135"/>
      <c r="I418" s="136"/>
    </row>
    <row r="419" spans="2:9">
      <c r="B419" s="171"/>
      <c r="C419" s="375"/>
      <c r="D419" s="163" t="s">
        <v>355</v>
      </c>
      <c r="E419" s="45"/>
      <c r="F419" s="133"/>
      <c r="G419" s="134"/>
      <c r="H419" s="135"/>
      <c r="I419" s="136"/>
    </row>
    <row r="420" spans="2:9">
      <c r="B420" s="171" t="s">
        <v>341</v>
      </c>
      <c r="C420" s="375"/>
      <c r="D420" s="144" t="s">
        <v>342</v>
      </c>
      <c r="E420" s="45" t="s">
        <v>8</v>
      </c>
      <c r="F420" s="200">
        <f>0.3*0.3*3</f>
        <v>0.27</v>
      </c>
      <c r="G420" s="134">
        <v>4280</v>
      </c>
      <c r="H420" s="142">
        <f>F420*G420</f>
        <v>1155.6000000000001</v>
      </c>
      <c r="I420" s="136">
        <f>2.50187*F420</f>
        <v>0.67550489999999996</v>
      </c>
    </row>
    <row r="421" spans="2:9">
      <c r="B421" s="171"/>
      <c r="C421" s="375"/>
      <c r="D421" s="138" t="s">
        <v>356</v>
      </c>
      <c r="E421" s="45"/>
      <c r="F421" s="133"/>
      <c r="G421" s="134"/>
      <c r="H421" s="135"/>
      <c r="I421" s="136"/>
    </row>
    <row r="422" spans="2:9">
      <c r="B422" s="171"/>
      <c r="C422" s="375"/>
      <c r="D422" s="144"/>
      <c r="E422" s="45"/>
      <c r="F422" s="133"/>
      <c r="G422" s="134"/>
      <c r="H422" s="135"/>
      <c r="I422" s="136"/>
    </row>
    <row r="423" spans="2:9" ht="26">
      <c r="B423" s="171" t="s">
        <v>345</v>
      </c>
      <c r="C423" s="375"/>
      <c r="D423" s="144" t="s">
        <v>346</v>
      </c>
      <c r="E423" s="45" t="s">
        <v>4</v>
      </c>
      <c r="F423" s="199">
        <f>0.3*4*3</f>
        <v>3.5999999999999996</v>
      </c>
      <c r="G423" s="134">
        <v>2650</v>
      </c>
      <c r="H423" s="142">
        <f>F423*G423</f>
        <v>9539.9999999999982</v>
      </c>
      <c r="I423" s="136">
        <f>0.07476*F423</f>
        <v>0.26913599999999993</v>
      </c>
    </row>
    <row r="424" spans="2:9">
      <c r="B424" s="171"/>
      <c r="C424" s="375"/>
      <c r="D424" s="144" t="s">
        <v>357</v>
      </c>
      <c r="E424" s="45"/>
      <c r="F424" s="133"/>
      <c r="G424" s="134"/>
      <c r="H424" s="135"/>
      <c r="I424" s="136"/>
    </row>
    <row r="425" spans="2:9" ht="26">
      <c r="B425" s="171" t="s">
        <v>349</v>
      </c>
      <c r="C425" s="375"/>
      <c r="D425" s="144" t="s">
        <v>350</v>
      </c>
      <c r="E425" s="45" t="s">
        <v>2</v>
      </c>
      <c r="F425" s="133">
        <v>3</v>
      </c>
      <c r="G425" s="134">
        <v>56.4</v>
      </c>
      <c r="H425" s="142">
        <f>F425*G425</f>
        <v>169.2</v>
      </c>
      <c r="I425" s="136">
        <f>0*F425</f>
        <v>0</v>
      </c>
    </row>
    <row r="426" spans="2:9">
      <c r="B426" s="171"/>
      <c r="C426" s="375"/>
      <c r="D426" s="175" t="s">
        <v>358</v>
      </c>
      <c r="E426" s="45" t="s">
        <v>4</v>
      </c>
      <c r="F426" s="133">
        <f>F423</f>
        <v>3.5999999999999996</v>
      </c>
      <c r="G426" s="134">
        <v>2000</v>
      </c>
      <c r="H426" s="135">
        <f>F426*G426</f>
        <v>7199.9999999999991</v>
      </c>
      <c r="I426" s="136">
        <f>0.0026*F426</f>
        <v>9.3599999999999985E-3</v>
      </c>
    </row>
    <row r="427" spans="2:9">
      <c r="B427" s="171"/>
      <c r="C427" s="375"/>
      <c r="D427" s="144"/>
      <c r="E427" s="45"/>
      <c r="F427" s="133"/>
      <c r="G427" s="134"/>
      <c r="H427" s="135"/>
      <c r="I427" s="136"/>
    </row>
    <row r="428" spans="2:9">
      <c r="B428" s="172" t="s">
        <v>218</v>
      </c>
      <c r="C428" s="376"/>
      <c r="D428" s="132" t="s">
        <v>219</v>
      </c>
      <c r="E428" s="139" t="s">
        <v>10</v>
      </c>
      <c r="F428" s="201">
        <v>3.1850000000000003E-2</v>
      </c>
      <c r="G428" s="141">
        <v>68300</v>
      </c>
      <c r="H428" s="142">
        <f>F428*G428</f>
        <v>2175.355</v>
      </c>
      <c r="I428" s="143">
        <f>1.04632*F428</f>
        <v>3.3325291999999999E-2</v>
      </c>
    </row>
    <row r="429" spans="2:9">
      <c r="B429" s="171"/>
      <c r="C429" s="375"/>
      <c r="D429" s="144"/>
      <c r="E429" s="45"/>
      <c r="F429" s="133"/>
      <c r="G429" s="134"/>
      <c r="H429" s="135"/>
      <c r="I429" s="136"/>
    </row>
    <row r="430" spans="2:9">
      <c r="B430" s="171"/>
      <c r="C430" s="375"/>
      <c r="D430" s="77" t="s">
        <v>359</v>
      </c>
      <c r="E430" s="45"/>
      <c r="F430" s="133"/>
      <c r="G430" s="134"/>
      <c r="H430" s="135"/>
      <c r="I430" s="136"/>
    </row>
    <row r="431" spans="2:9">
      <c r="B431" s="171"/>
      <c r="C431" s="375"/>
      <c r="D431" s="163" t="s">
        <v>360</v>
      </c>
      <c r="E431" s="45"/>
      <c r="F431" s="133"/>
      <c r="G431" s="134"/>
      <c r="H431" s="135"/>
      <c r="I431" s="136"/>
    </row>
    <row r="432" spans="2:9">
      <c r="B432" s="171" t="s">
        <v>341</v>
      </c>
      <c r="C432" s="375"/>
      <c r="D432" s="144" t="s">
        <v>342</v>
      </c>
      <c r="E432" s="45" t="s">
        <v>8</v>
      </c>
      <c r="F432" s="200">
        <f>3.14*0.125*0.125*2.7</f>
        <v>0.13246875000000002</v>
      </c>
      <c r="G432" s="134">
        <v>4280</v>
      </c>
      <c r="H432" s="142">
        <f>F432*G432</f>
        <v>566.96625000000006</v>
      </c>
      <c r="I432" s="136">
        <f>2.50187*F432</f>
        <v>0.33141959156250006</v>
      </c>
    </row>
    <row r="433" spans="2:9">
      <c r="B433" s="171"/>
      <c r="C433" s="375"/>
      <c r="D433" s="138" t="s">
        <v>361</v>
      </c>
      <c r="E433" s="45"/>
      <c r="F433" s="133"/>
      <c r="G433" s="134"/>
      <c r="H433" s="135"/>
      <c r="I433" s="136"/>
    </row>
    <row r="434" spans="2:9">
      <c r="B434" s="171"/>
      <c r="C434" s="375"/>
      <c r="D434" s="144"/>
      <c r="E434" s="45"/>
      <c r="F434" s="133"/>
      <c r="G434" s="134"/>
      <c r="H434" s="135"/>
      <c r="I434" s="136"/>
    </row>
    <row r="435" spans="2:9" ht="26">
      <c r="B435" s="171" t="s">
        <v>345</v>
      </c>
      <c r="C435" s="375"/>
      <c r="D435" s="144" t="s">
        <v>362</v>
      </c>
      <c r="E435" s="45" t="s">
        <v>4</v>
      </c>
      <c r="F435" s="199">
        <f>2*3.14*0.15*2.7</f>
        <v>2.5434000000000001</v>
      </c>
      <c r="G435" s="134">
        <v>2650</v>
      </c>
      <c r="H435" s="142">
        <f>F435*G435</f>
        <v>6740.01</v>
      </c>
      <c r="I435" s="136">
        <f>0.07476*F435</f>
        <v>0.19014458399999998</v>
      </c>
    </row>
    <row r="436" spans="2:9">
      <c r="B436" s="171"/>
      <c r="C436" s="375"/>
      <c r="D436" s="144" t="s">
        <v>363</v>
      </c>
      <c r="E436" s="45"/>
      <c r="F436" s="133"/>
      <c r="G436" s="134"/>
      <c r="H436" s="135"/>
      <c r="I436" s="136"/>
    </row>
    <row r="437" spans="2:9" ht="26">
      <c r="B437" s="171" t="s">
        <v>349</v>
      </c>
      <c r="C437" s="375"/>
      <c r="D437" s="144" t="s">
        <v>364</v>
      </c>
      <c r="E437" s="45" t="s">
        <v>2</v>
      </c>
      <c r="F437" s="133">
        <v>2.7</v>
      </c>
      <c r="G437" s="134">
        <v>56.4</v>
      </c>
      <c r="H437" s="142">
        <f>F437*G437</f>
        <v>152.28</v>
      </c>
      <c r="I437" s="136">
        <f>0*F437</f>
        <v>0</v>
      </c>
    </row>
    <row r="438" spans="2:9">
      <c r="B438" s="171"/>
      <c r="C438" s="375"/>
      <c r="D438" s="175" t="s">
        <v>358</v>
      </c>
      <c r="E438" s="45" t="s">
        <v>4</v>
      </c>
      <c r="F438" s="133">
        <f>F435</f>
        <v>2.5434000000000001</v>
      </c>
      <c r="G438" s="134">
        <v>2000</v>
      </c>
      <c r="H438" s="135">
        <f>F438*G438</f>
        <v>5086.8</v>
      </c>
      <c r="I438" s="136">
        <f>0.0026*F438</f>
        <v>6.61284E-3</v>
      </c>
    </row>
    <row r="439" spans="2:9">
      <c r="B439" s="171"/>
      <c r="C439" s="375"/>
      <c r="D439" s="144"/>
      <c r="E439" s="45"/>
      <c r="F439" s="133"/>
      <c r="G439" s="134"/>
      <c r="H439" s="135"/>
      <c r="I439" s="136"/>
    </row>
    <row r="440" spans="2:9">
      <c r="B440" s="172" t="s">
        <v>218</v>
      </c>
      <c r="C440" s="376"/>
      <c r="D440" s="132" t="s">
        <v>219</v>
      </c>
      <c r="E440" s="139" t="s">
        <v>10</v>
      </c>
      <c r="F440" s="201">
        <v>2.53E-2</v>
      </c>
      <c r="G440" s="141">
        <v>68300</v>
      </c>
      <c r="H440" s="142">
        <f>F440*G440</f>
        <v>1727.99</v>
      </c>
      <c r="I440" s="143">
        <f>1.04632*F440</f>
        <v>2.6471895999999998E-2</v>
      </c>
    </row>
    <row r="441" spans="2:9">
      <c r="B441" s="172"/>
      <c r="C441" s="379"/>
      <c r="D441" s="153"/>
      <c r="E441" s="139"/>
      <c r="F441" s="140"/>
      <c r="G441" s="141"/>
      <c r="H441" s="142"/>
      <c r="I441" s="143"/>
    </row>
    <row r="442" spans="2:9">
      <c r="B442" s="171"/>
      <c r="C442" s="375"/>
      <c r="D442" s="77" t="s">
        <v>365</v>
      </c>
      <c r="E442" s="45"/>
      <c r="F442" s="133"/>
      <c r="G442" s="134"/>
      <c r="H442" s="135"/>
      <c r="I442" s="136"/>
    </row>
    <row r="443" spans="2:9">
      <c r="B443" s="171"/>
      <c r="C443" s="375"/>
      <c r="D443" s="163" t="s">
        <v>360</v>
      </c>
      <c r="E443" s="45"/>
      <c r="F443" s="133"/>
      <c r="G443" s="134"/>
      <c r="H443" s="135"/>
      <c r="I443" s="136"/>
    </row>
    <row r="444" spans="2:9">
      <c r="B444" s="171" t="s">
        <v>341</v>
      </c>
      <c r="C444" s="375"/>
      <c r="D444" s="144" t="s">
        <v>342</v>
      </c>
      <c r="E444" s="45" t="s">
        <v>8</v>
      </c>
      <c r="F444" s="200">
        <f>3.14*0.125*0.125*2.4</f>
        <v>0.11774999999999999</v>
      </c>
      <c r="G444" s="134">
        <v>4280</v>
      </c>
      <c r="H444" s="142">
        <f>F444*G444</f>
        <v>503.96999999999997</v>
      </c>
      <c r="I444" s="136">
        <f>2.50187*F444</f>
        <v>0.29459519249999994</v>
      </c>
    </row>
    <row r="445" spans="2:9">
      <c r="B445" s="171"/>
      <c r="C445" s="375"/>
      <c r="D445" s="138" t="s">
        <v>366</v>
      </c>
      <c r="E445" s="45"/>
      <c r="F445" s="133"/>
      <c r="G445" s="134"/>
      <c r="H445" s="135"/>
      <c r="I445" s="136"/>
    </row>
    <row r="446" spans="2:9">
      <c r="B446" s="171"/>
      <c r="C446" s="375"/>
      <c r="D446" s="144"/>
      <c r="E446" s="45"/>
      <c r="F446" s="133"/>
      <c r="G446" s="134"/>
      <c r="H446" s="135"/>
      <c r="I446" s="136"/>
    </row>
    <row r="447" spans="2:9" ht="26">
      <c r="B447" s="171" t="s">
        <v>345</v>
      </c>
      <c r="C447" s="375"/>
      <c r="D447" s="144" t="s">
        <v>362</v>
      </c>
      <c r="E447" s="45" t="s">
        <v>4</v>
      </c>
      <c r="F447" s="199">
        <f>2*3.14*0.15*2.4</f>
        <v>2.2607999999999997</v>
      </c>
      <c r="G447" s="134">
        <v>2650</v>
      </c>
      <c r="H447" s="142">
        <f>F447*G447</f>
        <v>5991.119999999999</v>
      </c>
      <c r="I447" s="136">
        <f>0.07476*F447</f>
        <v>0.16901740799999995</v>
      </c>
    </row>
    <row r="448" spans="2:9">
      <c r="B448" s="171"/>
      <c r="C448" s="375"/>
      <c r="D448" s="144" t="s">
        <v>367</v>
      </c>
      <c r="E448" s="45"/>
      <c r="F448" s="133"/>
      <c r="G448" s="134"/>
      <c r="H448" s="135"/>
      <c r="I448" s="136"/>
    </row>
    <row r="449" spans="1:9" ht="26">
      <c r="B449" s="171" t="s">
        <v>349</v>
      </c>
      <c r="C449" s="375"/>
      <c r="D449" s="144" t="s">
        <v>364</v>
      </c>
      <c r="E449" s="45" t="s">
        <v>2</v>
      </c>
      <c r="F449" s="133">
        <v>2.4</v>
      </c>
      <c r="G449" s="134">
        <v>56.4</v>
      </c>
      <c r="H449" s="142">
        <f>F449*G449</f>
        <v>135.35999999999999</v>
      </c>
      <c r="I449" s="136">
        <f>0*F449</f>
        <v>0</v>
      </c>
    </row>
    <row r="450" spans="1:9">
      <c r="B450" s="171"/>
      <c r="C450" s="375"/>
      <c r="D450" s="175" t="s">
        <v>358</v>
      </c>
      <c r="E450" s="45" t="s">
        <v>4</v>
      </c>
      <c r="F450" s="133">
        <f>F447</f>
        <v>2.2607999999999997</v>
      </c>
      <c r="G450" s="134">
        <v>2000</v>
      </c>
      <c r="H450" s="135">
        <f>F450*G450</f>
        <v>4521.5999999999995</v>
      </c>
      <c r="I450" s="136">
        <f>0.0026*F450</f>
        <v>5.8780799999999991E-3</v>
      </c>
    </row>
    <row r="451" spans="1:9">
      <c r="B451" s="171"/>
      <c r="C451" s="375"/>
      <c r="D451" s="144"/>
      <c r="E451" s="45"/>
      <c r="F451" s="133"/>
      <c r="G451" s="134"/>
      <c r="H451" s="135"/>
      <c r="I451" s="136"/>
    </row>
    <row r="452" spans="1:9">
      <c r="B452" s="172" t="s">
        <v>218</v>
      </c>
      <c r="C452" s="376"/>
      <c r="D452" s="132" t="s">
        <v>219</v>
      </c>
      <c r="E452" s="139" t="s">
        <v>10</v>
      </c>
      <c r="F452" s="201">
        <v>2.2950000000000002E-2</v>
      </c>
      <c r="G452" s="141">
        <v>68300</v>
      </c>
      <c r="H452" s="142">
        <f>F452*G452</f>
        <v>1567.4850000000001</v>
      </c>
      <c r="I452" s="143">
        <f>1.04632*F452</f>
        <v>2.4013044000000001E-2</v>
      </c>
    </row>
    <row r="453" spans="1:9">
      <c r="B453" s="172"/>
      <c r="C453" s="376"/>
      <c r="D453" s="132"/>
      <c r="E453" s="139"/>
      <c r="F453" s="201"/>
      <c r="G453" s="141"/>
      <c r="H453" s="142"/>
      <c r="I453" s="143"/>
    </row>
    <row r="454" spans="1:9" ht="15">
      <c r="B454" s="340"/>
      <c r="C454" s="369"/>
      <c r="D454" s="72" t="s">
        <v>702</v>
      </c>
      <c r="E454" s="324"/>
      <c r="F454" s="325"/>
      <c r="G454" s="326"/>
      <c r="H454" s="326"/>
      <c r="I454" s="326"/>
    </row>
    <row r="455" spans="1:9" ht="15">
      <c r="B455" s="340"/>
      <c r="C455" s="369"/>
      <c r="D455" s="325"/>
      <c r="E455" s="352" t="s">
        <v>59</v>
      </c>
      <c r="F455" s="323" t="s">
        <v>60</v>
      </c>
      <c r="G455" s="353"/>
      <c r="H455" s="359">
        <f>SUM(H456:H525)</f>
        <v>863224.74601599993</v>
      </c>
      <c r="I455" s="359">
        <f>SUM(I456:I525)</f>
        <v>19.847233726208</v>
      </c>
    </row>
    <row r="456" spans="1:9" ht="84">
      <c r="A456" s="358"/>
      <c r="B456" s="340"/>
      <c r="C456" s="369"/>
      <c r="D456" s="327" t="s">
        <v>647</v>
      </c>
      <c r="E456" s="356" t="s">
        <v>8</v>
      </c>
      <c r="F456" s="354">
        <f>SUM(F458:F462)</f>
        <v>4.7947519999999999</v>
      </c>
      <c r="G456" s="357">
        <v>4280</v>
      </c>
      <c r="H456" s="142">
        <f>F456*G456</f>
        <v>20521.538560000001</v>
      </c>
      <c r="I456" s="355">
        <f>2.4*F456</f>
        <v>11.5074048</v>
      </c>
    </row>
    <row r="457" spans="1:9" ht="15">
      <c r="B457" s="340"/>
      <c r="C457" s="369"/>
      <c r="D457" s="325"/>
      <c r="E457" s="324"/>
      <c r="F457" s="328"/>
      <c r="G457" s="326"/>
      <c r="H457" s="326"/>
      <c r="I457" s="326"/>
    </row>
    <row r="458" spans="1:9" ht="45">
      <c r="B458" s="340"/>
      <c r="C458" s="369"/>
      <c r="D458" s="329" t="s">
        <v>648</v>
      </c>
      <c r="E458" s="324" t="s">
        <v>8</v>
      </c>
      <c r="F458" s="330">
        <f>4.2*0.1+ (1.075+1.065+1.335+1.18+1.01+1.005+1.155+1.365+1.075+1+1.055+1.305+1.195+1.02+1.01+1.14)*0.192*0.1</f>
        <v>0.76540800000000009</v>
      </c>
      <c r="G458" s="326"/>
      <c r="H458" s="326"/>
      <c r="I458" s="326"/>
    </row>
    <row r="459" spans="1:9" ht="60">
      <c r="B459" s="340"/>
      <c r="C459" s="369"/>
      <c r="D459" s="329" t="s">
        <v>649</v>
      </c>
      <c r="E459" s="324" t="s">
        <v>8</v>
      </c>
      <c r="F459" s="330">
        <f>4.2*0.1+1.2*0.2+ (1.065+1.335+1.18+1.01+1.005+1.155+1.365+1.075+1+1.055+1.305+1.195+1.02+1.01+1.14)*0.192*0.1</f>
        <v>0.98476800000000009</v>
      </c>
      <c r="G459" s="326"/>
      <c r="H459" s="326"/>
      <c r="I459" s="326"/>
    </row>
    <row r="460" spans="1:9" ht="45">
      <c r="B460" s="340"/>
      <c r="C460" s="369"/>
      <c r="D460" s="329" t="s">
        <v>650</v>
      </c>
      <c r="E460" s="324" t="s">
        <v>8</v>
      </c>
      <c r="F460" s="330">
        <f>4.4*0.1+1.4*0.2+(1.07+1.335+1.18+1.01+1.005+1.155+1.365+1.075+1+1.055+1.305+1.195+1.02+1.01+1.14+1.4)*0.192*0.1</f>
        <v>1.0717439999999998</v>
      </c>
      <c r="G460" s="326"/>
      <c r="H460" s="326"/>
      <c r="I460" s="326"/>
    </row>
    <row r="461" spans="1:9" ht="60">
      <c r="B461" s="340"/>
      <c r="C461" s="369"/>
      <c r="D461" s="329" t="s">
        <v>651</v>
      </c>
      <c r="E461" s="324" t="s">
        <v>8</v>
      </c>
      <c r="F461" s="330">
        <f xml:space="preserve"> 3.7*0.1+1 *0.2 +(1.07+1.335+1.18+1.01+1.005+1.155+1.365+1.075+1+1.055+1.305+1.195+1.02+1.01+1.14+1.4)*0.192*0.1</f>
        <v>0.92174400000000001</v>
      </c>
      <c r="G461" s="326"/>
      <c r="H461" s="326"/>
      <c r="I461" s="326"/>
    </row>
    <row r="462" spans="1:9" ht="45">
      <c r="B462" s="340"/>
      <c r="C462" s="369"/>
      <c r="D462" s="329" t="s">
        <v>652</v>
      </c>
      <c r="E462" s="324" t="s">
        <v>8</v>
      </c>
      <c r="F462" s="331">
        <f>3.7*0.1+ 2*0.2+ (1.09+1+1.065+1.335+1.18+1.01+1.005+1.155+1.365+1.075+1+1.055+1.305)*0.192*0.1</f>
        <v>1.051088</v>
      </c>
      <c r="G462" s="326"/>
      <c r="H462" s="326"/>
      <c r="I462" s="326"/>
    </row>
    <row r="463" spans="1:9" ht="15">
      <c r="B463" s="340"/>
      <c r="C463" s="369"/>
      <c r="D463" s="329"/>
      <c r="E463" s="324"/>
      <c r="F463" s="325"/>
      <c r="G463" s="326"/>
      <c r="H463" s="326"/>
      <c r="I463" s="326"/>
    </row>
    <row r="464" spans="1:9" ht="14">
      <c r="B464" s="340">
        <v>433351135</v>
      </c>
      <c r="C464" s="369"/>
      <c r="D464" s="18" t="s">
        <v>653</v>
      </c>
      <c r="E464" s="324" t="s">
        <v>4</v>
      </c>
      <c r="F464" s="328">
        <f>SUM(F465:F469)</f>
        <v>82.695040000000006</v>
      </c>
      <c r="G464" s="332">
        <v>1680</v>
      </c>
      <c r="H464" s="332">
        <f>F464*G464</f>
        <v>138927.6672</v>
      </c>
      <c r="I464" s="332">
        <f>0.0822*F464</f>
        <v>6.7975322880000002</v>
      </c>
    </row>
    <row r="465" spans="2:9" ht="45">
      <c r="B465" s="340"/>
      <c r="C465" s="369"/>
      <c r="D465" s="329" t="s">
        <v>654</v>
      </c>
      <c r="E465" s="324" t="s">
        <v>4</v>
      </c>
      <c r="F465" s="333">
        <f>( 4.2+(1.075+1.065+1.335+1.18+1.01+1.005+1.155+1.365+1.075+1+1.055+1.305+1.195+1.02+1.01+1.14)*0.192)*2</f>
        <v>15.308160000000001</v>
      </c>
      <c r="G465" s="326"/>
      <c r="H465" s="326"/>
      <c r="I465" s="326"/>
    </row>
    <row r="466" spans="2:9" ht="45">
      <c r="B466" s="340"/>
      <c r="C466" s="369"/>
      <c r="D466" s="329" t="s">
        <v>655</v>
      </c>
      <c r="E466" s="324" t="s">
        <v>4</v>
      </c>
      <c r="F466" s="333">
        <f>(4.2+1.2+ (1.065+1.335+1.18+1.01+1.005+1.155+1.365+1.075+1+1.055+1.305+1.195+1.02+1.01+1.14)*0.192)*2</f>
        <v>17.295360000000002</v>
      </c>
      <c r="G466" s="326"/>
      <c r="H466" s="326"/>
      <c r="I466" s="326"/>
    </row>
    <row r="467" spans="2:9" ht="30">
      <c r="B467" s="340"/>
      <c r="C467" s="369"/>
      <c r="D467" s="329" t="s">
        <v>656</v>
      </c>
      <c r="E467" s="324" t="s">
        <v>4</v>
      </c>
      <c r="F467" s="333">
        <f>(4.4+1.4+(1.07+1.335+1.18+1.01+1.005+1.155+1.365+1.075+1+1.055+1.305+1.195+1.02+1.01+1.14+1.4)*0.192)*2</f>
        <v>18.634879999999999</v>
      </c>
      <c r="G467" s="326"/>
      <c r="H467" s="326"/>
      <c r="I467" s="326"/>
    </row>
    <row r="468" spans="2:9" ht="45">
      <c r="B468" s="340"/>
      <c r="C468" s="369"/>
      <c r="D468" s="329" t="s">
        <v>657</v>
      </c>
      <c r="E468" s="324" t="s">
        <v>4</v>
      </c>
      <c r="F468" s="333">
        <f xml:space="preserve"> (3.7*1 +(1.07+1.335+1.18+1.01+1.005+1.155+1.365+1.075+1+1.055+1.305+1.195+1.02+1.01+1.14+1.4)*0.192)*2</f>
        <v>14.43488</v>
      </c>
      <c r="G468" s="326"/>
      <c r="H468" s="326"/>
      <c r="I468" s="326"/>
    </row>
    <row r="469" spans="2:9" ht="30">
      <c r="B469" s="340"/>
      <c r="C469" s="369"/>
      <c r="D469" s="329" t="s">
        <v>658</v>
      </c>
      <c r="E469" s="324" t="s">
        <v>4</v>
      </c>
      <c r="F469" s="333">
        <f>(3.7+ 2+ (1.09+1+1.065+1.335+1.18+1.01+1.005+1.155+1.365+1.075+1+1.055+1.305)*0.192)*2</f>
        <v>17.02176</v>
      </c>
      <c r="G469" s="326"/>
      <c r="H469" s="326"/>
      <c r="I469" s="326"/>
    </row>
    <row r="470" spans="2:9" ht="15">
      <c r="B470" s="340">
        <v>433351136</v>
      </c>
      <c r="C470" s="369"/>
      <c r="D470" s="327" t="s">
        <v>659</v>
      </c>
      <c r="E470" s="324" t="s">
        <v>4</v>
      </c>
      <c r="F470" s="328">
        <f>F464</f>
        <v>82.695040000000006</v>
      </c>
      <c r="G470" s="328">
        <v>161</v>
      </c>
      <c r="H470" s="328">
        <f>F470*G470</f>
        <v>13313.901440000001</v>
      </c>
      <c r="I470" s="328">
        <f>0*F470</f>
        <v>0</v>
      </c>
    </row>
    <row r="471" spans="2:9" ht="42">
      <c r="B471" s="340"/>
      <c r="C471" s="369"/>
      <c r="D471" s="334" t="s">
        <v>660</v>
      </c>
      <c r="E471" s="324" t="s">
        <v>4</v>
      </c>
      <c r="F471" s="328">
        <f>F470</f>
        <v>82.695040000000006</v>
      </c>
      <c r="G471" s="328">
        <v>2000</v>
      </c>
      <c r="H471" s="328">
        <f>F471*G471</f>
        <v>165390.08000000002</v>
      </c>
      <c r="I471" s="328">
        <f>0*F471</f>
        <v>0</v>
      </c>
    </row>
    <row r="472" spans="2:9" ht="14">
      <c r="B472" s="340">
        <v>431351128</v>
      </c>
      <c r="C472" s="369"/>
      <c r="D472" s="13" t="s">
        <v>661</v>
      </c>
      <c r="E472" s="324" t="s">
        <v>4</v>
      </c>
      <c r="F472" s="328">
        <f>F470</f>
        <v>82.695040000000006</v>
      </c>
      <c r="G472" s="328">
        <v>81</v>
      </c>
      <c r="H472" s="328">
        <f>F472*G472</f>
        <v>6698.2982400000001</v>
      </c>
      <c r="I472" s="328">
        <f>0*F472</f>
        <v>0</v>
      </c>
    </row>
    <row r="473" spans="2:9" ht="15">
      <c r="B473" s="340">
        <v>431351129</v>
      </c>
      <c r="C473" s="369"/>
      <c r="D473" s="327" t="s">
        <v>659</v>
      </c>
      <c r="E473" s="324" t="s">
        <v>4</v>
      </c>
      <c r="F473" s="328">
        <f>F470</f>
        <v>82.695040000000006</v>
      </c>
      <c r="G473" s="328">
        <v>15.4</v>
      </c>
      <c r="H473" s="328">
        <f>F473*G473</f>
        <v>1273.5036160000002</v>
      </c>
      <c r="I473" s="328">
        <f>0*F473</f>
        <v>0</v>
      </c>
    </row>
    <row r="474" spans="2:9" ht="14">
      <c r="B474" s="340"/>
      <c r="C474" s="369"/>
      <c r="D474" s="334"/>
      <c r="E474" s="324"/>
      <c r="F474" s="328"/>
      <c r="G474" s="328"/>
      <c r="H474" s="328"/>
      <c r="I474" s="328"/>
    </row>
    <row r="475" spans="2:9" ht="15">
      <c r="B475" s="361">
        <v>430361821</v>
      </c>
      <c r="C475" s="369"/>
      <c r="D475" s="75" t="s">
        <v>662</v>
      </c>
      <c r="E475" s="324" t="s">
        <v>10</v>
      </c>
      <c r="F475" s="328">
        <f>F456*0.2</f>
        <v>0.95895039999999998</v>
      </c>
      <c r="G475" s="326">
        <v>73900</v>
      </c>
      <c r="H475" s="328">
        <f>F475*G475</f>
        <v>70866.434559999994</v>
      </c>
      <c r="I475" s="328">
        <f>1.04927*F475</f>
        <v>1.0061978862079999</v>
      </c>
    </row>
    <row r="476" spans="2:9" ht="15">
      <c r="B476" s="340"/>
      <c r="C476" s="369"/>
      <c r="D476" s="325"/>
      <c r="E476" s="324"/>
      <c r="F476" s="325"/>
      <c r="G476" s="326"/>
      <c r="H476" s="326"/>
      <c r="I476" s="326"/>
    </row>
    <row r="477" spans="2:9" ht="24">
      <c r="B477" s="338" t="s">
        <v>157</v>
      </c>
      <c r="C477" s="369"/>
      <c r="D477" s="75" t="s">
        <v>663</v>
      </c>
      <c r="E477" s="335" t="s">
        <v>4</v>
      </c>
      <c r="F477" s="333">
        <f>SUM(F478:F482)</f>
        <v>42.547520000000006</v>
      </c>
      <c r="G477" s="336">
        <v>2370</v>
      </c>
      <c r="H477" s="326">
        <f>F477*G477</f>
        <v>100837.62240000001</v>
      </c>
      <c r="I477" s="326">
        <f>0.0126*F477</f>
        <v>0.53609875200000012</v>
      </c>
    </row>
    <row r="478" spans="2:9" ht="45">
      <c r="B478" s="340"/>
      <c r="C478" s="369"/>
      <c r="D478" s="329" t="s">
        <v>664</v>
      </c>
      <c r="E478" s="324" t="s">
        <v>4</v>
      </c>
      <c r="F478" s="337">
        <f>( 4.2+(1.075+1.065+1.335+1.18+1.01+1.005+1.155+1.365+1.075+1+1.055+1.305+1.195+1.02+1.01+1.14)*0.192)+1.2</f>
        <v>8.8540799999999997</v>
      </c>
      <c r="G478" s="326"/>
      <c r="H478" s="326"/>
      <c r="I478" s="326"/>
    </row>
    <row r="479" spans="2:9" ht="45">
      <c r="B479" s="340"/>
      <c r="C479" s="369"/>
      <c r="D479" s="329" t="s">
        <v>665</v>
      </c>
      <c r="E479" s="324" t="s">
        <v>4</v>
      </c>
      <c r="F479" s="337">
        <f>(4.2+1.2+ (1.065+1.335+1.18+1.01+1.005+1.155+1.365+1.075+1+1.055+1.305+1.195+1.02+1.01+1.14)*0.192)</f>
        <v>8.6476800000000011</v>
      </c>
      <c r="G479" s="326"/>
      <c r="H479" s="326"/>
      <c r="I479" s="326"/>
    </row>
    <row r="480" spans="2:9" ht="30">
      <c r="B480" s="340"/>
      <c r="C480" s="369"/>
      <c r="D480" s="329" t="s">
        <v>666</v>
      </c>
      <c r="E480" s="324" t="s">
        <v>4</v>
      </c>
      <c r="F480" s="337">
        <f>(4.4+1.4+(1.07+1.335+1.18+1.01+1.005+1.155+1.365+1.075+1+1.055+1.305+1.195+1.02+1.01+1.14+1.4)*0.192)</f>
        <v>9.3174399999999995</v>
      </c>
      <c r="G480" s="326"/>
      <c r="H480" s="326"/>
      <c r="I480" s="326"/>
    </row>
    <row r="481" spans="2:9" ht="45">
      <c r="B481" s="340"/>
      <c r="C481" s="369"/>
      <c r="D481" s="329" t="s">
        <v>667</v>
      </c>
      <c r="E481" s="324" t="s">
        <v>4</v>
      </c>
      <c r="F481" s="337">
        <f xml:space="preserve"> (3.7*1 +(1.07+1.335+1.18+1.01+1.005+1.155+1.365+1.075+1+1.055+1.305+1.195+1.02+1.01+1.14+1.4)*0.192)</f>
        <v>7.2174399999999999</v>
      </c>
      <c r="G481" s="326"/>
      <c r="H481" s="326"/>
      <c r="I481" s="326"/>
    </row>
    <row r="482" spans="2:9" ht="30">
      <c r="B482" s="340"/>
      <c r="C482" s="369"/>
      <c r="D482" s="329" t="s">
        <v>668</v>
      </c>
      <c r="E482" s="324" t="s">
        <v>4</v>
      </c>
      <c r="F482" s="337">
        <f>(3.7+ 2+ (1.09+1+1.065+1.335+1.18+1.01+1.005+1.155+1.365+1.075+1+1.055+1.305)*0.192)</f>
        <v>8.5108800000000002</v>
      </c>
      <c r="G482" s="326"/>
      <c r="H482" s="326"/>
      <c r="I482" s="326"/>
    </row>
    <row r="483" spans="2:9" ht="15">
      <c r="B483" s="340"/>
      <c r="C483" s="369"/>
      <c r="D483" s="329"/>
      <c r="E483" s="324"/>
      <c r="F483" s="325"/>
      <c r="G483" s="326"/>
      <c r="H483" s="326"/>
      <c r="I483" s="326"/>
    </row>
    <row r="484" spans="2:9" ht="15">
      <c r="B484" s="340"/>
      <c r="C484" s="369"/>
      <c r="D484" s="325"/>
      <c r="E484" s="324"/>
      <c r="F484" s="325"/>
      <c r="G484" s="326"/>
      <c r="H484" s="326"/>
      <c r="I484" s="326"/>
    </row>
    <row r="485" spans="2:9" ht="24">
      <c r="B485" s="338" t="s">
        <v>157</v>
      </c>
      <c r="C485" s="369"/>
      <c r="D485" s="339" t="s">
        <v>669</v>
      </c>
      <c r="E485" s="324"/>
      <c r="F485" s="325"/>
      <c r="G485" s="326"/>
      <c r="H485" s="326"/>
      <c r="I485" s="326"/>
    </row>
    <row r="486" spans="2:9" ht="30">
      <c r="B486" s="340"/>
      <c r="C486" s="369"/>
      <c r="D486" s="329" t="s">
        <v>670</v>
      </c>
      <c r="E486" s="324" t="s">
        <v>7</v>
      </c>
      <c r="F486" s="325">
        <v>300</v>
      </c>
      <c r="G486" s="326">
        <f>375*1.155+200</f>
        <v>633.125</v>
      </c>
      <c r="H486" s="326">
        <f>F486*G486</f>
        <v>189937.5</v>
      </c>
      <c r="I486" s="326"/>
    </row>
    <row r="487" spans="2:9" ht="15">
      <c r="B487" s="340"/>
      <c r="C487" s="369"/>
      <c r="D487" s="325"/>
      <c r="E487" s="324"/>
      <c r="F487" s="325"/>
      <c r="G487" s="326"/>
      <c r="H487" s="326"/>
      <c r="I487" s="326"/>
    </row>
    <row r="488" spans="2:9" ht="15">
      <c r="B488" s="340"/>
      <c r="C488" s="369"/>
      <c r="D488" s="325"/>
      <c r="E488" s="324"/>
      <c r="F488" s="325"/>
      <c r="G488" s="326"/>
      <c r="H488" s="326"/>
      <c r="I488" s="326"/>
    </row>
    <row r="489" spans="2:9" ht="45">
      <c r="B489" s="340"/>
      <c r="C489" s="369"/>
      <c r="D489" s="339" t="s">
        <v>821</v>
      </c>
      <c r="E489" s="324"/>
      <c r="F489" s="325"/>
      <c r="G489" s="326"/>
      <c r="H489" s="326"/>
      <c r="I489" s="326"/>
    </row>
    <row r="490" spans="2:9" ht="24">
      <c r="B490" s="338" t="s">
        <v>157</v>
      </c>
      <c r="C490" s="369"/>
      <c r="D490" s="329" t="s">
        <v>671</v>
      </c>
      <c r="E490" s="324" t="s">
        <v>7</v>
      </c>
      <c r="F490" s="325">
        <v>1</v>
      </c>
      <c r="G490" s="326">
        <v>300</v>
      </c>
      <c r="H490" s="326">
        <f>F490*G490</f>
        <v>300</v>
      </c>
      <c r="I490" s="326"/>
    </row>
    <row r="491" spans="2:9" ht="24">
      <c r="B491" s="338" t="s">
        <v>157</v>
      </c>
      <c r="C491" s="369"/>
      <c r="D491" s="329" t="s">
        <v>672</v>
      </c>
      <c r="E491" s="324" t="s">
        <v>7</v>
      </c>
      <c r="F491" s="325">
        <v>1</v>
      </c>
      <c r="G491" s="326">
        <v>400</v>
      </c>
      <c r="H491" s="326">
        <f>F491*G491</f>
        <v>400</v>
      </c>
      <c r="I491" s="326"/>
    </row>
    <row r="492" spans="2:9" ht="24">
      <c r="B492" s="338" t="s">
        <v>157</v>
      </c>
      <c r="C492" s="369"/>
      <c r="D492" s="329" t="s">
        <v>673</v>
      </c>
      <c r="E492" s="324" t="s">
        <v>7</v>
      </c>
      <c r="F492" s="325">
        <v>5</v>
      </c>
      <c r="G492" s="326">
        <v>600</v>
      </c>
      <c r="H492" s="326">
        <f>F492*G492</f>
        <v>3000</v>
      </c>
      <c r="I492" s="326"/>
    </row>
    <row r="493" spans="2:9" ht="24">
      <c r="B493" s="338" t="s">
        <v>157</v>
      </c>
      <c r="C493" s="369"/>
      <c r="D493" s="329" t="s">
        <v>674</v>
      </c>
      <c r="E493" s="324" t="s">
        <v>7</v>
      </c>
      <c r="F493" s="325">
        <v>1</v>
      </c>
      <c r="G493" s="326">
        <v>2500</v>
      </c>
      <c r="H493" s="326">
        <f>F493*G493</f>
        <v>2500</v>
      </c>
      <c r="I493" s="326"/>
    </row>
    <row r="494" spans="2:9" ht="15">
      <c r="B494" s="340"/>
      <c r="C494" s="369"/>
      <c r="D494" s="325"/>
      <c r="E494" s="324"/>
      <c r="F494" s="325"/>
      <c r="G494" s="326"/>
      <c r="H494" s="326"/>
      <c r="I494" s="326"/>
    </row>
    <row r="495" spans="2:9" ht="30">
      <c r="B495" s="340"/>
      <c r="C495" s="369"/>
      <c r="D495" s="339" t="s">
        <v>822</v>
      </c>
      <c r="E495" s="324"/>
      <c r="F495" s="325"/>
      <c r="G495" s="326"/>
      <c r="H495" s="326"/>
      <c r="I495" s="326"/>
    </row>
    <row r="496" spans="2:9" ht="24">
      <c r="B496" s="338" t="s">
        <v>157</v>
      </c>
      <c r="C496" s="369"/>
      <c r="D496" s="329" t="s">
        <v>675</v>
      </c>
      <c r="E496" s="324" t="s">
        <v>7</v>
      </c>
      <c r="F496" s="325">
        <v>2</v>
      </c>
      <c r="G496" s="326">
        <v>300</v>
      </c>
      <c r="H496" s="326">
        <f t="shared" ref="H496:H501" si="4">F496*G496</f>
        <v>600</v>
      </c>
      <c r="I496" s="326"/>
    </row>
    <row r="497" spans="2:9" ht="24">
      <c r="B497" s="338" t="s">
        <v>157</v>
      </c>
      <c r="C497" s="369"/>
      <c r="D497" s="329" t="s">
        <v>676</v>
      </c>
      <c r="E497" s="324" t="s">
        <v>7</v>
      </c>
      <c r="F497" s="325">
        <v>2</v>
      </c>
      <c r="G497" s="326">
        <v>300</v>
      </c>
      <c r="H497" s="326">
        <f t="shared" si="4"/>
        <v>600</v>
      </c>
      <c r="I497" s="326"/>
    </row>
    <row r="498" spans="2:9" ht="24">
      <c r="B498" s="338" t="s">
        <v>157</v>
      </c>
      <c r="C498" s="369"/>
      <c r="D498" s="329" t="s">
        <v>677</v>
      </c>
      <c r="E498" s="324" t="s">
        <v>7</v>
      </c>
      <c r="F498" s="325">
        <v>1</v>
      </c>
      <c r="G498" s="326">
        <v>300</v>
      </c>
      <c r="H498" s="326">
        <f t="shared" si="4"/>
        <v>300</v>
      </c>
      <c r="I498" s="326"/>
    </row>
    <row r="499" spans="2:9" ht="24">
      <c r="B499" s="338" t="s">
        <v>157</v>
      </c>
      <c r="C499" s="369"/>
      <c r="D499" s="329" t="s">
        <v>678</v>
      </c>
      <c r="E499" s="324" t="s">
        <v>7</v>
      </c>
      <c r="F499" s="325">
        <v>1</v>
      </c>
      <c r="G499" s="326">
        <v>5000</v>
      </c>
      <c r="H499" s="326">
        <f t="shared" si="4"/>
        <v>5000</v>
      </c>
      <c r="I499" s="326"/>
    </row>
    <row r="500" spans="2:9" ht="24">
      <c r="B500" s="338" t="s">
        <v>157</v>
      </c>
      <c r="C500" s="369"/>
      <c r="D500" s="329" t="s">
        <v>679</v>
      </c>
      <c r="E500" s="324" t="s">
        <v>7</v>
      </c>
      <c r="F500" s="325">
        <v>1</v>
      </c>
      <c r="G500" s="326">
        <v>600</v>
      </c>
      <c r="H500" s="326">
        <f t="shared" si="4"/>
        <v>600</v>
      </c>
      <c r="I500" s="326"/>
    </row>
    <row r="501" spans="2:9" ht="24">
      <c r="B501" s="338" t="s">
        <v>157</v>
      </c>
      <c r="C501" s="369"/>
      <c r="D501" s="329" t="s">
        <v>680</v>
      </c>
      <c r="E501" s="324" t="s">
        <v>7</v>
      </c>
      <c r="F501" s="325">
        <v>6</v>
      </c>
      <c r="G501" s="326">
        <v>300</v>
      </c>
      <c r="H501" s="326">
        <f t="shared" si="4"/>
        <v>1800</v>
      </c>
      <c r="I501" s="326"/>
    </row>
    <row r="502" spans="2:9" ht="15">
      <c r="B502" s="340"/>
      <c r="C502" s="369"/>
      <c r="D502" s="329"/>
      <c r="E502" s="324"/>
      <c r="F502" s="325"/>
      <c r="G502" s="326"/>
      <c r="H502" s="326"/>
      <c r="I502" s="326"/>
    </row>
    <row r="503" spans="2:9" ht="60">
      <c r="B503" s="340"/>
      <c r="C503" s="369"/>
      <c r="D503" s="339" t="s">
        <v>681</v>
      </c>
      <c r="E503" s="324"/>
      <c r="F503" s="325"/>
      <c r="G503" s="326"/>
      <c r="H503" s="326"/>
      <c r="I503" s="326"/>
    </row>
    <row r="504" spans="2:9" ht="24">
      <c r="B504" s="338" t="s">
        <v>157</v>
      </c>
      <c r="C504" s="369"/>
      <c r="D504" s="341" t="s">
        <v>682</v>
      </c>
      <c r="E504" s="342" t="s">
        <v>15</v>
      </c>
      <c r="F504" s="325">
        <v>50</v>
      </c>
      <c r="G504" s="326">
        <v>300</v>
      </c>
      <c r="H504" s="326">
        <f>F504*G504</f>
        <v>15000</v>
      </c>
      <c r="I504" s="326"/>
    </row>
    <row r="505" spans="2:9" ht="24">
      <c r="B505" s="338" t="s">
        <v>157</v>
      </c>
      <c r="C505" s="369"/>
      <c r="D505" s="341" t="s">
        <v>683</v>
      </c>
      <c r="E505" s="342" t="s">
        <v>15</v>
      </c>
      <c r="F505" s="325">
        <v>70</v>
      </c>
      <c r="G505" s="326">
        <v>300</v>
      </c>
      <c r="H505" s="326">
        <f>F505*G505</f>
        <v>21000</v>
      </c>
      <c r="I505" s="326"/>
    </row>
    <row r="506" spans="2:9" ht="24">
      <c r="B506" s="338" t="s">
        <v>157</v>
      </c>
      <c r="C506" s="369"/>
      <c r="D506" s="341" t="s">
        <v>684</v>
      </c>
      <c r="E506" s="342" t="s">
        <v>15</v>
      </c>
      <c r="F506" s="325">
        <v>80</v>
      </c>
      <c r="G506" s="326">
        <v>600</v>
      </c>
      <c r="H506" s="326">
        <f>F506*G506</f>
        <v>48000</v>
      </c>
      <c r="I506" s="326"/>
    </row>
    <row r="507" spans="2:9" ht="15">
      <c r="B507" s="340"/>
      <c r="C507" s="369"/>
      <c r="D507" s="325"/>
      <c r="E507" s="324"/>
      <c r="F507" s="325"/>
      <c r="G507" s="326"/>
      <c r="H507" s="326"/>
      <c r="I507" s="326"/>
    </row>
    <row r="508" spans="2:9" ht="15">
      <c r="B508" s="340"/>
      <c r="C508" s="369"/>
      <c r="D508" s="343" t="s">
        <v>685</v>
      </c>
      <c r="E508" s="324"/>
      <c r="F508" s="325"/>
      <c r="G508" s="326"/>
      <c r="H508" s="326"/>
      <c r="I508" s="326"/>
    </row>
    <row r="509" spans="2:9" ht="24">
      <c r="B509" s="338" t="s">
        <v>157</v>
      </c>
      <c r="C509" s="369"/>
      <c r="D509" s="325" t="s">
        <v>686</v>
      </c>
      <c r="E509" s="324" t="s">
        <v>7</v>
      </c>
      <c r="F509" s="325">
        <v>2</v>
      </c>
      <c r="G509" s="326">
        <f>800*1.155+1000</f>
        <v>1924</v>
      </c>
      <c r="H509" s="326">
        <f>F509*G509</f>
        <v>3848</v>
      </c>
      <c r="I509" s="326"/>
    </row>
    <row r="510" spans="2:9" ht="24">
      <c r="B510" s="338" t="s">
        <v>157</v>
      </c>
      <c r="C510" s="369"/>
      <c r="D510" s="329" t="s">
        <v>687</v>
      </c>
      <c r="E510" s="324" t="s">
        <v>7</v>
      </c>
      <c r="F510" s="325">
        <v>2</v>
      </c>
      <c r="G510" s="326">
        <f>200*1.155+100</f>
        <v>331</v>
      </c>
      <c r="H510" s="326">
        <f>F510*G510</f>
        <v>662</v>
      </c>
      <c r="I510" s="326"/>
    </row>
    <row r="511" spans="2:9" ht="60">
      <c r="B511" s="338" t="s">
        <v>157</v>
      </c>
      <c r="C511" s="369"/>
      <c r="D511" s="344" t="s">
        <v>688</v>
      </c>
      <c r="E511" s="324" t="s">
        <v>7</v>
      </c>
      <c r="F511" s="325">
        <v>14</v>
      </c>
      <c r="G511" s="326">
        <f>200*1.155+100</f>
        <v>331</v>
      </c>
      <c r="H511" s="326">
        <f>F511*G511</f>
        <v>4634</v>
      </c>
      <c r="I511" s="326"/>
    </row>
    <row r="512" spans="2:9" ht="30">
      <c r="B512" s="338" t="s">
        <v>157</v>
      </c>
      <c r="C512" s="369"/>
      <c r="D512" s="329" t="s">
        <v>689</v>
      </c>
      <c r="E512" s="324" t="s">
        <v>7</v>
      </c>
      <c r="F512" s="325">
        <v>3</v>
      </c>
      <c r="G512" s="326">
        <f>200*1.155+100</f>
        <v>331</v>
      </c>
      <c r="H512" s="326">
        <f>F512*G512</f>
        <v>993</v>
      </c>
      <c r="I512" s="326"/>
    </row>
    <row r="513" spans="2:9" ht="24">
      <c r="B513" s="338" t="s">
        <v>157</v>
      </c>
      <c r="C513" s="369"/>
      <c r="D513" s="325" t="s">
        <v>690</v>
      </c>
      <c r="E513" s="324" t="s">
        <v>7</v>
      </c>
      <c r="F513" s="325">
        <v>1</v>
      </c>
      <c r="G513" s="326">
        <v>10000</v>
      </c>
      <c r="H513" s="326">
        <f>F513*G513</f>
        <v>10000</v>
      </c>
      <c r="I513" s="326"/>
    </row>
    <row r="514" spans="2:9" ht="15">
      <c r="B514" s="340"/>
      <c r="C514" s="369"/>
      <c r="D514" s="325"/>
      <c r="E514" s="324"/>
      <c r="F514" s="325"/>
      <c r="G514" s="326"/>
      <c r="H514" s="326"/>
      <c r="I514" s="326"/>
    </row>
    <row r="515" spans="2:9" ht="24">
      <c r="B515" s="338" t="s">
        <v>157</v>
      </c>
      <c r="C515" s="369"/>
      <c r="D515" s="325" t="s">
        <v>691</v>
      </c>
      <c r="E515" s="324" t="s">
        <v>692</v>
      </c>
      <c r="F515" s="325">
        <f>15.2+13.96+15.25+8.1</f>
        <v>52.51</v>
      </c>
      <c r="G515" s="326">
        <v>120</v>
      </c>
      <c r="H515" s="326">
        <f>F515*G515</f>
        <v>6301.2</v>
      </c>
      <c r="I515" s="326"/>
    </row>
    <row r="516" spans="2:9" ht="15">
      <c r="B516" s="340"/>
      <c r="C516" s="369"/>
      <c r="D516" s="325"/>
      <c r="E516" s="324"/>
      <c r="F516" s="325"/>
      <c r="G516" s="326"/>
      <c r="H516" s="326"/>
      <c r="I516" s="326"/>
    </row>
    <row r="517" spans="2:9" ht="24">
      <c r="B517" s="338" t="s">
        <v>157</v>
      </c>
      <c r="C517" s="369"/>
      <c r="D517" s="325" t="s">
        <v>693</v>
      </c>
      <c r="E517" s="324" t="s">
        <v>7</v>
      </c>
      <c r="F517" s="325">
        <v>16</v>
      </c>
      <c r="G517" s="326">
        <v>120</v>
      </c>
      <c r="H517" s="326">
        <f>F517*G517</f>
        <v>1920</v>
      </c>
      <c r="I517" s="326"/>
    </row>
    <row r="518" spans="2:9" ht="15">
      <c r="B518" s="340"/>
      <c r="C518" s="369"/>
      <c r="D518" s="325"/>
      <c r="E518" s="324"/>
      <c r="F518" s="325"/>
      <c r="G518" s="326"/>
      <c r="H518" s="326"/>
      <c r="I518" s="326"/>
    </row>
    <row r="519" spans="2:9" ht="15">
      <c r="B519" s="340"/>
      <c r="C519" s="369"/>
      <c r="D519" s="325"/>
      <c r="E519" s="324"/>
      <c r="F519" s="325"/>
      <c r="G519" s="326"/>
      <c r="H519" s="326"/>
      <c r="I519" s="326"/>
    </row>
    <row r="520" spans="2:9" ht="75">
      <c r="B520" s="340"/>
      <c r="C520" s="369"/>
      <c r="D520" s="329" t="s">
        <v>694</v>
      </c>
      <c r="E520" s="324"/>
      <c r="F520" s="325"/>
      <c r="G520" s="326"/>
      <c r="H520" s="326"/>
      <c r="I520" s="326"/>
    </row>
    <row r="521" spans="2:9" ht="90">
      <c r="B521" s="338" t="s">
        <v>157</v>
      </c>
      <c r="C521" s="369"/>
      <c r="D521" s="329" t="s">
        <v>695</v>
      </c>
      <c r="E521" s="324" t="s">
        <v>7</v>
      </c>
      <c r="F521" s="325">
        <v>4</v>
      </c>
      <c r="G521" s="326">
        <v>7000</v>
      </c>
      <c r="H521" s="326">
        <f>F521*G521</f>
        <v>28000</v>
      </c>
      <c r="I521" s="326"/>
    </row>
    <row r="522" spans="2:9" ht="105">
      <c r="B522" s="340"/>
      <c r="C522" s="369"/>
      <c r="D522" s="329" t="s">
        <v>696</v>
      </c>
      <c r="E522" s="324"/>
      <c r="F522" s="325"/>
      <c r="G522" s="326"/>
      <c r="H522" s="326"/>
      <c r="I522" s="326"/>
    </row>
    <row r="523" spans="2:9" ht="15">
      <c r="B523" s="340"/>
      <c r="C523" s="369"/>
      <c r="D523" s="325"/>
      <c r="E523" s="324"/>
      <c r="F523" s="325"/>
      <c r="G523" s="326"/>
      <c r="H523" s="326"/>
      <c r="I523" s="326"/>
    </row>
    <row r="524" spans="2:9" ht="15">
      <c r="B524" s="340"/>
      <c r="C524" s="345" t="s">
        <v>697</v>
      </c>
      <c r="D524" s="325"/>
      <c r="E524" s="324"/>
      <c r="F524" s="325"/>
      <c r="G524" s="326"/>
      <c r="H524" s="326"/>
      <c r="I524" s="326"/>
    </row>
    <row r="525" spans="2:9" ht="30">
      <c r="B525" s="346" t="s">
        <v>157</v>
      </c>
      <c r="C525" s="347" t="s">
        <v>698</v>
      </c>
      <c r="D525" s="348" t="s">
        <v>699</v>
      </c>
      <c r="E525" s="349" t="s">
        <v>4</v>
      </c>
      <c r="F525" s="350">
        <f>(0.95+1.135)*2.75+(2.085+0.1)*2.75+(0.9+0.18)*1.5+0.9*0.18</f>
        <v>13.524500000000002</v>
      </c>
      <c r="G525" s="351"/>
      <c r="H525" s="351"/>
      <c r="I525" s="351"/>
    </row>
    <row r="526" spans="2:9" ht="15">
      <c r="B526" s="340"/>
      <c r="C526" s="369"/>
      <c r="D526" s="325"/>
      <c r="E526" s="324"/>
      <c r="F526" s="325"/>
      <c r="G526" s="326"/>
      <c r="H526" s="326"/>
      <c r="I526" s="326"/>
    </row>
    <row r="527" spans="2:9" ht="24">
      <c r="B527" s="338" t="s">
        <v>157</v>
      </c>
      <c r="C527" s="369"/>
      <c r="D527" s="325" t="s">
        <v>700</v>
      </c>
      <c r="E527" s="324" t="s">
        <v>7</v>
      </c>
      <c r="F527" s="325">
        <v>5</v>
      </c>
      <c r="G527" s="326"/>
      <c r="H527" s="326"/>
      <c r="I527" s="326"/>
    </row>
    <row r="528" spans="2:9" ht="15">
      <c r="B528" s="340"/>
      <c r="C528" s="345" t="s">
        <v>697</v>
      </c>
      <c r="D528" s="325"/>
      <c r="E528" s="324"/>
      <c r="F528" s="325"/>
      <c r="G528" s="326"/>
      <c r="H528" s="326"/>
      <c r="I528" s="326"/>
    </row>
    <row r="529" spans="2:9" ht="24">
      <c r="B529" s="338" t="s">
        <v>157</v>
      </c>
      <c r="C529" s="347" t="s">
        <v>698</v>
      </c>
      <c r="D529" s="325" t="s">
        <v>701</v>
      </c>
      <c r="E529" s="324" t="s">
        <v>4</v>
      </c>
      <c r="F529" s="325">
        <f>0.9*2*1.5+0.9*0.2</f>
        <v>2.8800000000000003</v>
      </c>
      <c r="G529" s="326">
        <v>2200</v>
      </c>
      <c r="H529" s="326"/>
      <c r="I529" s="326"/>
    </row>
    <row r="530" spans="2:9" ht="15">
      <c r="B530" s="340"/>
      <c r="C530" s="369"/>
      <c r="D530" s="325"/>
      <c r="E530" s="324"/>
      <c r="F530" s="325"/>
      <c r="G530" s="326"/>
      <c r="H530" s="326"/>
      <c r="I530" s="326"/>
    </row>
    <row r="531" spans="2:9" ht="15">
      <c r="B531" s="39"/>
      <c r="C531" s="277"/>
      <c r="D531" s="78" t="s">
        <v>426</v>
      </c>
      <c r="E531" s="76" t="s">
        <v>48</v>
      </c>
      <c r="F531" s="162" t="s">
        <v>60</v>
      </c>
      <c r="G531" s="222"/>
      <c r="H531" s="177">
        <f>SUM(H534:H602)</f>
        <v>295592.42204079928</v>
      </c>
      <c r="I531" s="177">
        <f>SUM(I534:I602)</f>
        <v>4.5462993741615048</v>
      </c>
    </row>
    <row r="532" spans="2:9" ht="14">
      <c r="B532" s="39"/>
      <c r="C532" s="277"/>
      <c r="D532" s="1" t="s">
        <v>425</v>
      </c>
      <c r="E532" s="45"/>
      <c r="F532" s="133"/>
      <c r="G532" s="203"/>
      <c r="H532" s="135"/>
      <c r="I532" s="204"/>
    </row>
    <row r="533" spans="2:9">
      <c r="B533" s="39"/>
      <c r="C533" s="277"/>
      <c r="D533" s="174" t="s">
        <v>424</v>
      </c>
      <c r="E533" s="45"/>
      <c r="F533" s="133"/>
      <c r="G533" s="203"/>
      <c r="H533" s="135"/>
      <c r="I533" s="204"/>
    </row>
    <row r="534" spans="2:9">
      <c r="B534" s="170">
        <v>342279113</v>
      </c>
      <c r="C534" s="277"/>
      <c r="D534" s="205" t="s">
        <v>369</v>
      </c>
      <c r="E534" s="45" t="s">
        <v>2</v>
      </c>
      <c r="F534" s="133">
        <f>(6.7+2.49+0.115+2.24+1.65+2.535*2+2.2-0.3*2)+(1.135+0.95+0.9)</f>
        <v>22.849999999999998</v>
      </c>
      <c r="G534" s="203">
        <v>186</v>
      </c>
      <c r="H534" s="135">
        <f>F534*G534</f>
        <v>4250.0999999999995</v>
      </c>
      <c r="I534" s="204">
        <f>0.02974*F534</f>
        <v>0.67955899999999991</v>
      </c>
    </row>
    <row r="535" spans="2:9" ht="39">
      <c r="B535" s="39"/>
      <c r="C535" s="277"/>
      <c r="D535" s="137" t="s">
        <v>370</v>
      </c>
      <c r="E535" s="45"/>
      <c r="F535" s="133"/>
      <c r="G535" s="203"/>
      <c r="H535" s="135"/>
      <c r="I535" s="204"/>
    </row>
    <row r="536" spans="2:9">
      <c r="B536" s="170">
        <v>342271401</v>
      </c>
      <c r="C536" s="277"/>
      <c r="D536" s="205" t="s">
        <v>371</v>
      </c>
      <c r="E536" s="45" t="s">
        <v>4</v>
      </c>
      <c r="F536" s="133">
        <f>SUM(F537:F538)</f>
        <v>54.581099999999999</v>
      </c>
      <c r="G536" s="203">
        <v>994</v>
      </c>
      <c r="H536" s="135">
        <f>F536*G536</f>
        <v>54253.613400000002</v>
      </c>
      <c r="I536" s="204">
        <f>0.023877*F536</f>
        <v>1.3032329246999999</v>
      </c>
    </row>
    <row r="537" spans="2:9" ht="26">
      <c r="B537" s="39"/>
      <c r="C537" s="277"/>
      <c r="D537" s="137" t="s">
        <v>372</v>
      </c>
      <c r="E537" s="45"/>
      <c r="F537" s="206">
        <f>(6.7+2.49+0.115+2.24+1.65+2.535*2+2.2*2-0.3*2)*(0.19+2.4+0.35)</f>
        <v>64.871099999999998</v>
      </c>
      <c r="G537" s="203"/>
      <c r="H537" s="135"/>
      <c r="I537" s="204"/>
    </row>
    <row r="538" spans="2:9" ht="14">
      <c r="B538" s="39"/>
      <c r="C538" s="277"/>
      <c r="D538" s="57" t="s">
        <v>373</v>
      </c>
      <c r="E538" s="45"/>
      <c r="F538" s="133">
        <f>-( 1.1*2.1+0.8*2.1*3+0.7*2.1*2)</f>
        <v>-10.290000000000001</v>
      </c>
      <c r="G538" s="203"/>
      <c r="H538" s="135"/>
      <c r="I538" s="207"/>
    </row>
    <row r="539" spans="2:9" ht="26">
      <c r="B539" s="170">
        <v>311270331</v>
      </c>
      <c r="C539" s="277"/>
      <c r="D539" s="205" t="s">
        <v>374</v>
      </c>
      <c r="E539" s="45" t="s">
        <v>4</v>
      </c>
      <c r="F539" s="133">
        <f>1.2*0.7</f>
        <v>0.84</v>
      </c>
      <c r="G539" s="203">
        <v>1600</v>
      </c>
      <c r="H539" s="135">
        <f>F539*G539</f>
        <v>1344</v>
      </c>
      <c r="I539" s="204">
        <f>0.37699*F539</f>
        <v>0.3166716</v>
      </c>
    </row>
    <row r="540" spans="2:9" ht="26">
      <c r="B540" s="170">
        <v>342271322</v>
      </c>
      <c r="C540" s="277"/>
      <c r="D540" s="208" t="s">
        <v>375</v>
      </c>
      <c r="E540" s="45" t="s">
        <v>4</v>
      </c>
      <c r="F540" s="133">
        <f>(0.95+1.135)*2.7+0.9*0.6</f>
        <v>6.1695000000000002</v>
      </c>
      <c r="G540" s="203">
        <v>727</v>
      </c>
      <c r="H540" s="135">
        <f>F540*G540</f>
        <v>4485.2264999999998</v>
      </c>
      <c r="I540" s="204">
        <f>0.1364*F540</f>
        <v>0.84151980000000004</v>
      </c>
    </row>
    <row r="541" spans="2:9">
      <c r="B541" s="170"/>
      <c r="C541" s="277"/>
      <c r="D541" s="205" t="s">
        <v>376</v>
      </c>
      <c r="E541" s="45"/>
      <c r="F541" s="133"/>
      <c r="G541" s="203"/>
      <c r="H541" s="135"/>
      <c r="I541" s="204"/>
    </row>
    <row r="542" spans="2:9">
      <c r="B542" s="170"/>
      <c r="C542" s="277"/>
      <c r="D542" s="205"/>
      <c r="E542" s="45"/>
      <c r="F542" s="133"/>
      <c r="G542" s="203"/>
      <c r="H542" s="135"/>
      <c r="I542" s="204"/>
    </row>
    <row r="543" spans="2:9">
      <c r="B543" s="39">
        <v>342291112</v>
      </c>
      <c r="C543" s="277"/>
      <c r="D543" s="209" t="s">
        <v>377</v>
      </c>
      <c r="E543" s="210" t="s">
        <v>2</v>
      </c>
      <c r="F543" s="211">
        <f>2.75*11</f>
        <v>30.25</v>
      </c>
      <c r="G543" s="92">
        <v>114</v>
      </c>
      <c r="H543" s="212">
        <f>F543*G543</f>
        <v>3448.5</v>
      </c>
      <c r="I543" s="204">
        <f>0.00012*F543</f>
        <v>3.63E-3</v>
      </c>
    </row>
    <row r="544" spans="2:9" ht="65">
      <c r="B544" s="39" t="s">
        <v>378</v>
      </c>
      <c r="C544" s="277"/>
      <c r="D544" s="213" t="s">
        <v>379</v>
      </c>
      <c r="E544" s="214" t="s">
        <v>2</v>
      </c>
      <c r="F544" s="211">
        <f>6.7+4.845+1.65+2.535*2+2.2*2-0.6</f>
        <v>22.064999999999998</v>
      </c>
      <c r="G544" s="92">
        <v>395</v>
      </c>
      <c r="H544" s="212">
        <f>F544*G544</f>
        <v>8715.6749999999993</v>
      </c>
      <c r="I544" s="204">
        <f>0.0003*F544</f>
        <v>6.6194999999999986E-3</v>
      </c>
    </row>
    <row r="545" spans="2:9">
      <c r="B545" s="39"/>
      <c r="C545" s="277"/>
      <c r="D545" s="209"/>
      <c r="E545" s="210"/>
      <c r="F545" s="211"/>
      <c r="G545" s="92"/>
      <c r="H545" s="212"/>
      <c r="I545" s="204"/>
    </row>
    <row r="546" spans="2:9">
      <c r="B546" s="39" t="s">
        <v>380</v>
      </c>
      <c r="C546" s="277"/>
      <c r="D546" s="137" t="s">
        <v>381</v>
      </c>
      <c r="E546" s="45" t="s">
        <v>7</v>
      </c>
      <c r="F546" s="133">
        <v>2</v>
      </c>
      <c r="G546" s="203">
        <v>523</v>
      </c>
      <c r="H546" s="135">
        <f>F546*G546</f>
        <v>1046</v>
      </c>
      <c r="I546" s="204">
        <f>0.0291*F546</f>
        <v>5.8200000000000002E-2</v>
      </c>
    </row>
    <row r="547" spans="2:9">
      <c r="B547" s="39" t="s">
        <v>382</v>
      </c>
      <c r="C547" s="277"/>
      <c r="D547" s="137" t="s">
        <v>383</v>
      </c>
      <c r="E547" s="45" t="s">
        <v>7</v>
      </c>
      <c r="F547" s="133">
        <v>3</v>
      </c>
      <c r="G547" s="203">
        <v>628</v>
      </c>
      <c r="H547" s="135">
        <f>F547*G547</f>
        <v>1884</v>
      </c>
      <c r="I547" s="204">
        <f>0.0363*F547</f>
        <v>0.1089</v>
      </c>
    </row>
    <row r="548" spans="2:9">
      <c r="B548" s="39">
        <v>317151106</v>
      </c>
      <c r="C548" s="277"/>
      <c r="D548" s="137" t="s">
        <v>384</v>
      </c>
      <c r="E548" s="45" t="s">
        <v>7</v>
      </c>
      <c r="F548" s="133">
        <v>1</v>
      </c>
      <c r="G548" s="203">
        <v>796</v>
      </c>
      <c r="H548" s="135">
        <f>F548*G548</f>
        <v>796</v>
      </c>
      <c r="I548" s="204">
        <f>0.04494*F548</f>
        <v>4.4940000000000001E-2</v>
      </c>
    </row>
    <row r="549" spans="2:9">
      <c r="B549" s="39"/>
      <c r="C549" s="277"/>
      <c r="D549" s="137" t="s">
        <v>385</v>
      </c>
      <c r="E549" s="45"/>
      <c r="F549" s="133"/>
      <c r="G549" s="203"/>
      <c r="H549" s="135"/>
      <c r="I549" s="204"/>
    </row>
    <row r="550" spans="2:9">
      <c r="B550" s="39"/>
      <c r="C550" s="277"/>
      <c r="D550" s="57"/>
      <c r="E550" s="45"/>
      <c r="F550" s="133"/>
      <c r="G550" s="203"/>
      <c r="H550" s="135"/>
      <c r="I550" s="207"/>
    </row>
    <row r="551" spans="2:9" ht="14">
      <c r="B551" s="39"/>
      <c r="C551" s="277"/>
      <c r="D551" s="1" t="s">
        <v>823</v>
      </c>
      <c r="E551" s="45"/>
      <c r="F551" s="133"/>
      <c r="G551" s="203"/>
      <c r="H551" s="135"/>
      <c r="I551" s="207"/>
    </row>
    <row r="552" spans="2:9">
      <c r="B552" s="39"/>
      <c r="C552" s="277"/>
      <c r="D552" s="57"/>
      <c r="E552" s="45"/>
      <c r="F552" s="133"/>
      <c r="G552" s="203"/>
      <c r="H552" s="135"/>
      <c r="I552" s="207"/>
    </row>
    <row r="553" spans="2:9" ht="39">
      <c r="B553" s="39" t="s">
        <v>378</v>
      </c>
      <c r="C553" s="277"/>
      <c r="D553" s="205" t="s">
        <v>386</v>
      </c>
      <c r="E553" s="45" t="s">
        <v>4</v>
      </c>
      <c r="F553" s="133">
        <f>SUM(F554:F559)</f>
        <v>53.401150000000001</v>
      </c>
      <c r="G553" s="203">
        <v>226</v>
      </c>
      <c r="H553" s="135">
        <f>F553*G553</f>
        <v>12068.659900000001</v>
      </c>
      <c r="I553" s="204">
        <f>0.00472*F553</f>
        <v>0.25205342800000002</v>
      </c>
    </row>
    <row r="554" spans="2:9">
      <c r="B554" s="39"/>
      <c r="C554" s="277"/>
      <c r="D554" s="137" t="s">
        <v>387</v>
      </c>
      <c r="E554" s="45"/>
      <c r="F554" s="133"/>
      <c r="G554" s="203"/>
      <c r="H554" s="135"/>
      <c r="I554" s="207"/>
    </row>
    <row r="555" spans="2:9">
      <c r="B555" s="39"/>
      <c r="C555" s="277"/>
      <c r="D555" s="137" t="s">
        <v>388</v>
      </c>
      <c r="E555" s="45"/>
      <c r="F555" s="133">
        <f>(2.995+2.2)*2*2.45-(0.8*2.1+0.7*2)</f>
        <v>22.375500000000002</v>
      </c>
      <c r="G555" s="203"/>
      <c r="H555" s="135"/>
      <c r="I555" s="207"/>
    </row>
    <row r="556" spans="2:9" ht="14">
      <c r="B556" s="39"/>
      <c r="C556" s="277"/>
      <c r="D556" s="57" t="s">
        <v>389</v>
      </c>
      <c r="E556" s="45"/>
      <c r="F556" s="133">
        <f>(1.65+0.95)*2*2.45-0.7*2.1</f>
        <v>11.269999999999998</v>
      </c>
      <c r="G556" s="203"/>
      <c r="H556" s="135"/>
      <c r="I556" s="207"/>
    </row>
    <row r="557" spans="2:9" ht="14">
      <c r="B557" s="39"/>
      <c r="C557" s="277"/>
      <c r="D557" s="57" t="s">
        <v>390</v>
      </c>
      <c r="E557" s="45"/>
      <c r="F557" s="133">
        <f>(1.65+1.1135)*2*2.45-0.7*2.1</f>
        <v>12.071149999999999</v>
      </c>
      <c r="G557" s="203"/>
      <c r="H557" s="135"/>
      <c r="I557" s="207"/>
    </row>
    <row r="558" spans="2:9" ht="14">
      <c r="B558" s="39"/>
      <c r="C558" s="277"/>
      <c r="D558" s="57" t="s">
        <v>391</v>
      </c>
      <c r="E558" s="45"/>
      <c r="F558" s="133">
        <f>1.2*0.7</f>
        <v>0.84</v>
      </c>
      <c r="G558" s="203"/>
      <c r="H558" s="135"/>
      <c r="I558" s="207"/>
    </row>
    <row r="559" spans="2:9">
      <c r="B559" s="39"/>
      <c r="C559" s="277"/>
      <c r="D559" s="137" t="s">
        <v>392</v>
      </c>
      <c r="E559" s="45"/>
      <c r="F559" s="133">
        <f>F540+0.9*0.6+0.15*0.9</f>
        <v>6.8445</v>
      </c>
      <c r="G559" s="203"/>
      <c r="H559" s="135"/>
      <c r="I559" s="207"/>
    </row>
    <row r="560" spans="2:9" ht="27">
      <c r="B560" s="39" t="s">
        <v>378</v>
      </c>
      <c r="C560" s="277"/>
      <c r="D560" s="13" t="s">
        <v>393</v>
      </c>
      <c r="E560" s="45" t="s">
        <v>4</v>
      </c>
      <c r="F560" s="133">
        <f>F553</f>
        <v>53.401150000000001</v>
      </c>
      <c r="G560" s="203">
        <v>2200</v>
      </c>
      <c r="H560" s="135">
        <f>F560*G560</f>
        <v>117482.53</v>
      </c>
      <c r="I560" s="215">
        <f>0.002*F560</f>
        <v>0.1068023</v>
      </c>
    </row>
    <row r="561" spans="2:9">
      <c r="B561" s="39"/>
      <c r="C561" s="277"/>
      <c r="D561" s="57"/>
      <c r="E561" s="45"/>
      <c r="F561" s="133"/>
      <c r="G561" s="203"/>
      <c r="H561" s="135"/>
      <c r="I561" s="204"/>
    </row>
    <row r="562" spans="2:9" ht="26">
      <c r="B562" s="39" t="s">
        <v>378</v>
      </c>
      <c r="C562" s="277"/>
      <c r="D562" s="137" t="s">
        <v>394</v>
      </c>
      <c r="E562" s="45" t="s">
        <v>4</v>
      </c>
      <c r="F562" s="133">
        <f>1*2.4*2</f>
        <v>4.8</v>
      </c>
      <c r="G562" s="203">
        <v>300</v>
      </c>
      <c r="H562" s="135">
        <f>F562*G562</f>
        <v>1440</v>
      </c>
      <c r="I562" s="204">
        <f>0*F562</f>
        <v>0</v>
      </c>
    </row>
    <row r="563" spans="2:9">
      <c r="B563" s="39"/>
      <c r="C563" s="277"/>
      <c r="D563" s="137"/>
      <c r="E563" s="45"/>
      <c r="F563" s="133"/>
      <c r="G563" s="203"/>
      <c r="H563" s="135"/>
      <c r="I563" s="204"/>
    </row>
    <row r="564" spans="2:9">
      <c r="B564" s="170">
        <v>611341121</v>
      </c>
      <c r="C564" s="277"/>
      <c r="D564" s="205" t="s">
        <v>395</v>
      </c>
      <c r="E564" s="45" t="s">
        <v>4</v>
      </c>
      <c r="F564" s="133">
        <f>6.7*4.235</f>
        <v>28.374500000000001</v>
      </c>
      <c r="G564" s="203">
        <v>354</v>
      </c>
      <c r="H564" s="135">
        <f>F564*G564</f>
        <v>10044.573</v>
      </c>
      <c r="I564" s="204">
        <f>0.01153*F564</f>
        <v>0.32715798500000004</v>
      </c>
    </row>
    <row r="565" spans="2:9">
      <c r="B565" s="39"/>
      <c r="C565" s="277"/>
      <c r="D565" s="137" t="s">
        <v>396</v>
      </c>
      <c r="E565" s="45"/>
      <c r="F565" s="133"/>
      <c r="G565" s="203"/>
      <c r="H565" s="135"/>
      <c r="I565" s="204"/>
    </row>
    <row r="566" spans="2:9">
      <c r="B566" s="170">
        <v>629999022</v>
      </c>
      <c r="C566" s="277"/>
      <c r="D566" s="208" t="s">
        <v>397</v>
      </c>
      <c r="E566" s="45" t="s">
        <v>2</v>
      </c>
      <c r="F566" s="133">
        <v>3</v>
      </c>
      <c r="G566" s="203">
        <v>134</v>
      </c>
      <c r="H566" s="135">
        <f>F566*G566</f>
        <v>402</v>
      </c>
      <c r="I566" s="204">
        <f>0*F566</f>
        <v>0</v>
      </c>
    </row>
    <row r="567" spans="2:9">
      <c r="B567" s="170"/>
      <c r="C567" s="277"/>
      <c r="D567" s="208"/>
      <c r="E567" s="45"/>
      <c r="F567" s="133"/>
      <c r="G567" s="203"/>
      <c r="H567" s="135"/>
      <c r="I567" s="204"/>
    </row>
    <row r="568" spans="2:9" ht="14">
      <c r="B568" s="170"/>
      <c r="C568" s="277"/>
      <c r="D568" s="1" t="s">
        <v>398</v>
      </c>
      <c r="E568" s="45"/>
      <c r="F568" s="133"/>
      <c r="G568" s="203"/>
      <c r="H568" s="135"/>
      <c r="I568" s="204"/>
    </row>
    <row r="569" spans="2:9" ht="26">
      <c r="B569" s="39" t="s">
        <v>378</v>
      </c>
      <c r="C569" s="277"/>
      <c r="D569" s="13" t="s">
        <v>399</v>
      </c>
      <c r="E569" s="45" t="s">
        <v>400</v>
      </c>
      <c r="F569" s="133">
        <v>4</v>
      </c>
      <c r="G569" s="203">
        <v>2800</v>
      </c>
      <c r="H569" s="135">
        <f>F569*G569</f>
        <v>11200</v>
      </c>
      <c r="I569" s="204">
        <f>0.003*F569</f>
        <v>1.2E-2</v>
      </c>
    </row>
    <row r="570" spans="2:9" ht="24">
      <c r="B570" s="39" t="s">
        <v>378</v>
      </c>
      <c r="C570" s="277"/>
      <c r="D570" s="13" t="s">
        <v>401</v>
      </c>
      <c r="E570" s="45" t="s">
        <v>400</v>
      </c>
      <c r="F570" s="133">
        <v>2</v>
      </c>
      <c r="G570" s="203">
        <v>1200</v>
      </c>
      <c r="H570" s="135">
        <f>F570*G570</f>
        <v>2400</v>
      </c>
      <c r="I570" s="204">
        <v>0.02</v>
      </c>
    </row>
    <row r="571" spans="2:9" ht="28">
      <c r="B571" s="39" t="s">
        <v>378</v>
      </c>
      <c r="C571" s="277"/>
      <c r="D571" s="13" t="s">
        <v>402</v>
      </c>
      <c r="E571" s="45" t="s">
        <v>400</v>
      </c>
      <c r="F571" s="133">
        <v>1</v>
      </c>
      <c r="G571" s="203">
        <v>2300</v>
      </c>
      <c r="H571" s="135">
        <f>F571*G571</f>
        <v>2300</v>
      </c>
      <c r="I571" s="204">
        <v>0.02</v>
      </c>
    </row>
    <row r="572" spans="2:9" ht="26">
      <c r="B572" s="39">
        <v>952901111</v>
      </c>
      <c r="C572" s="277"/>
      <c r="D572" s="205" t="s">
        <v>403</v>
      </c>
      <c r="E572" s="45" t="s">
        <v>4</v>
      </c>
      <c r="F572" s="133">
        <f>7.92*9.84</f>
        <v>77.9328</v>
      </c>
      <c r="G572" s="203">
        <v>130</v>
      </c>
      <c r="H572" s="135">
        <f>F572*G572</f>
        <v>10131.263999999999</v>
      </c>
      <c r="I572" s="204">
        <f>0.00004*F573</f>
        <v>1.6405146150799991E-4</v>
      </c>
    </row>
    <row r="573" spans="2:9" ht="14">
      <c r="B573" s="216">
        <v>998012021</v>
      </c>
      <c r="C573" s="277"/>
      <c r="D573" s="217" t="s">
        <v>404</v>
      </c>
      <c r="E573" s="45" t="s">
        <v>10</v>
      </c>
      <c r="F573" s="133">
        <f>SUM(I534:I571)</f>
        <v>4.1012865376999974</v>
      </c>
      <c r="G573" s="203">
        <v>309</v>
      </c>
      <c r="H573" s="135">
        <f>F573*G573</f>
        <v>1267.2975401492993</v>
      </c>
      <c r="I573" s="50"/>
    </row>
    <row r="574" spans="2:9">
      <c r="B574" s="39"/>
      <c r="C574" s="277"/>
      <c r="D574" s="57"/>
      <c r="E574" s="45"/>
      <c r="F574" s="133"/>
      <c r="G574" s="203"/>
      <c r="H574" s="135"/>
      <c r="I574" s="204"/>
    </row>
    <row r="575" spans="2:9" ht="14">
      <c r="B575" s="39"/>
      <c r="C575" s="277"/>
      <c r="D575" s="1" t="s">
        <v>405</v>
      </c>
      <c r="E575" s="45"/>
      <c r="F575" s="133"/>
      <c r="G575" s="203"/>
      <c r="H575" s="135"/>
      <c r="I575" s="204"/>
    </row>
    <row r="576" spans="2:9" ht="26">
      <c r="B576" s="170">
        <v>763131441</v>
      </c>
      <c r="C576" s="277"/>
      <c r="D576" s="208" t="s">
        <v>406</v>
      </c>
      <c r="E576" s="45" t="s">
        <v>4</v>
      </c>
      <c r="F576" s="133">
        <f>SUM(F577:F578)</f>
        <v>11.688750000000001</v>
      </c>
      <c r="G576" s="203">
        <v>1050</v>
      </c>
      <c r="H576" s="135">
        <f>F576*G576</f>
        <v>12273.1875</v>
      </c>
      <c r="I576" s="204">
        <f>0.02487*F576</f>
        <v>0.29069921250000003</v>
      </c>
    </row>
    <row r="577" spans="2:9" ht="14">
      <c r="B577" s="38"/>
      <c r="C577" s="277"/>
      <c r="D577" s="57" t="s">
        <v>407</v>
      </c>
      <c r="E577" s="45"/>
      <c r="F577" s="133">
        <f>(2.49*2.535)</f>
        <v>6.3121500000000008</v>
      </c>
      <c r="G577" s="203"/>
      <c r="H577" s="135"/>
      <c r="I577" s="204"/>
    </row>
    <row r="578" spans="2:9" ht="14">
      <c r="B578" s="39"/>
      <c r="C578" s="277"/>
      <c r="D578" s="57" t="s">
        <v>408</v>
      </c>
      <c r="E578" s="45"/>
      <c r="F578" s="133">
        <f>(3.09*1.74)</f>
        <v>5.3765999999999998</v>
      </c>
      <c r="G578" s="203"/>
      <c r="H578" s="135"/>
      <c r="I578" s="204"/>
    </row>
    <row r="579" spans="2:9">
      <c r="B579" s="39"/>
      <c r="C579" s="277"/>
      <c r="D579" s="57"/>
      <c r="E579" s="45"/>
      <c r="F579" s="133"/>
      <c r="G579" s="203"/>
      <c r="H579" s="135"/>
      <c r="I579" s="204"/>
    </row>
    <row r="580" spans="2:9" ht="39">
      <c r="B580" s="39">
        <v>763131557</v>
      </c>
      <c r="C580" s="277"/>
      <c r="D580" s="218" t="s">
        <v>409</v>
      </c>
      <c r="E580" s="45" t="s">
        <v>4</v>
      </c>
      <c r="F580" s="133">
        <f>SUM(F581:F583)</f>
        <v>10.029250000000001</v>
      </c>
      <c r="G580" s="203">
        <v>1180</v>
      </c>
      <c r="H580" s="135">
        <f>F580*G580</f>
        <v>11834.515000000001</v>
      </c>
      <c r="I580" s="204">
        <f>0.01537*F580</f>
        <v>0.15414957250000003</v>
      </c>
    </row>
    <row r="581" spans="2:9" ht="14">
      <c r="B581" s="39"/>
      <c r="C581" s="277"/>
      <c r="D581" s="57" t="s">
        <v>410</v>
      </c>
      <c r="E581" s="45"/>
      <c r="F581" s="133">
        <f>(2.995*2.2)</f>
        <v>6.5890000000000004</v>
      </c>
      <c r="G581" s="203"/>
      <c r="H581" s="135"/>
      <c r="I581" s="204"/>
    </row>
    <row r="582" spans="2:9" ht="14">
      <c r="B582" s="39"/>
      <c r="C582" s="277"/>
      <c r="D582" s="57" t="s">
        <v>411</v>
      </c>
      <c r="E582" s="45"/>
      <c r="F582" s="133">
        <f>(1.65*0.95)</f>
        <v>1.5674999999999999</v>
      </c>
      <c r="G582" s="203"/>
      <c r="H582" s="135"/>
      <c r="I582" s="204"/>
    </row>
    <row r="583" spans="2:9" ht="14">
      <c r="B583" s="39"/>
      <c r="C583" s="277"/>
      <c r="D583" s="57" t="s">
        <v>412</v>
      </c>
      <c r="E583" s="45"/>
      <c r="F583" s="133">
        <f>(1.65*1.135)</f>
        <v>1.8727499999999999</v>
      </c>
      <c r="G583" s="203"/>
      <c r="H583" s="135"/>
      <c r="I583" s="204"/>
    </row>
    <row r="584" spans="2:9">
      <c r="B584" s="39"/>
      <c r="C584" s="277"/>
      <c r="D584" s="57"/>
      <c r="E584" s="45"/>
      <c r="F584" s="133"/>
      <c r="G584" s="203"/>
      <c r="H584" s="135"/>
      <c r="I584" s="204"/>
    </row>
    <row r="585" spans="2:9" ht="14">
      <c r="B585" s="39">
        <v>763131761</v>
      </c>
      <c r="C585" s="277"/>
      <c r="D585" s="219" t="s">
        <v>413</v>
      </c>
      <c r="E585" s="45" t="s">
        <v>4</v>
      </c>
      <c r="F585" s="133">
        <f>SUM(F586:F587)</f>
        <v>3.4402499999999998</v>
      </c>
      <c r="G585" s="203">
        <v>64.099999999999994</v>
      </c>
      <c r="H585" s="135">
        <f>F585*G585</f>
        <v>220.52002499999998</v>
      </c>
      <c r="I585" s="204">
        <f>0*F585</f>
        <v>0</v>
      </c>
    </row>
    <row r="586" spans="2:9" ht="14">
      <c r="B586" s="39"/>
      <c r="C586" s="277"/>
      <c r="D586" s="57" t="s">
        <v>411</v>
      </c>
      <c r="E586" s="45"/>
      <c r="F586" s="133">
        <f>(1.65*0.95)</f>
        <v>1.5674999999999999</v>
      </c>
      <c r="G586" s="203"/>
      <c r="H586" s="135"/>
      <c r="I586" s="204"/>
    </row>
    <row r="587" spans="2:9" ht="14">
      <c r="B587" s="39"/>
      <c r="C587" s="277"/>
      <c r="D587" s="57" t="s">
        <v>412</v>
      </c>
      <c r="E587" s="45"/>
      <c r="F587" s="133">
        <f>(1.65*1.135)</f>
        <v>1.8727499999999999</v>
      </c>
      <c r="G587" s="203"/>
      <c r="H587" s="135"/>
      <c r="I587" s="204"/>
    </row>
    <row r="588" spans="2:9">
      <c r="B588" s="39"/>
      <c r="C588" s="277"/>
      <c r="D588" s="57"/>
      <c r="E588" s="45"/>
      <c r="F588" s="133"/>
      <c r="G588" s="203"/>
      <c r="H588" s="135"/>
      <c r="I588" s="204"/>
    </row>
    <row r="589" spans="2:9">
      <c r="B589" s="216">
        <v>998763301</v>
      </c>
      <c r="C589" s="277"/>
      <c r="D589" s="205" t="s">
        <v>414</v>
      </c>
      <c r="E589" s="45" t="s">
        <v>10</v>
      </c>
      <c r="F589" s="133">
        <f>SUM(I576:I587)</f>
        <v>0.44484878500000002</v>
      </c>
      <c r="G589" s="203">
        <v>1090</v>
      </c>
      <c r="H589" s="135">
        <f>F589*G589</f>
        <v>484.88517565000001</v>
      </c>
      <c r="I589" s="204"/>
    </row>
    <row r="590" spans="2:9">
      <c r="B590" s="39"/>
      <c r="C590" s="277"/>
      <c r="D590" s="51"/>
      <c r="E590" s="45"/>
      <c r="F590" s="133"/>
      <c r="G590" s="203"/>
      <c r="H590" s="135"/>
      <c r="I590" s="204"/>
    </row>
    <row r="591" spans="2:9" ht="14">
      <c r="B591" s="39"/>
      <c r="C591" s="277"/>
      <c r="D591" s="1" t="s">
        <v>415</v>
      </c>
      <c r="E591" s="45"/>
      <c r="F591" s="133"/>
      <c r="G591" s="203"/>
      <c r="H591" s="135"/>
      <c r="I591" s="204"/>
    </row>
    <row r="592" spans="2:9" ht="14">
      <c r="B592" s="170">
        <v>784351031</v>
      </c>
      <c r="C592" s="277"/>
      <c r="D592" s="219" t="s">
        <v>416</v>
      </c>
      <c r="E592" s="45" t="s">
        <v>4</v>
      </c>
      <c r="F592" s="133">
        <f>SUM(F593:F596)</f>
        <v>50.09375</v>
      </c>
      <c r="G592" s="203">
        <v>212</v>
      </c>
      <c r="H592" s="135">
        <f>F592*G592</f>
        <v>10619.875</v>
      </c>
      <c r="I592" s="204"/>
    </row>
    <row r="593" spans="1:9" ht="14">
      <c r="B593" s="39"/>
      <c r="C593" s="277"/>
      <c r="D593" s="57" t="s">
        <v>417</v>
      </c>
      <c r="E593" s="45"/>
      <c r="F593" s="133"/>
      <c r="G593" s="203"/>
      <c r="H593" s="135"/>
      <c r="I593" s="204"/>
    </row>
    <row r="594" spans="1:9" ht="14">
      <c r="B594" s="39"/>
      <c r="C594" s="277"/>
      <c r="D594" s="57" t="s">
        <v>418</v>
      </c>
      <c r="E594" s="45"/>
      <c r="F594" s="133">
        <f>6.7*4.235</f>
        <v>28.374500000000001</v>
      </c>
      <c r="G594" s="203"/>
      <c r="H594" s="135"/>
      <c r="I594" s="204"/>
    </row>
    <row r="595" spans="1:9" ht="14">
      <c r="B595" s="39"/>
      <c r="C595" s="277"/>
      <c r="D595" s="57" t="s">
        <v>419</v>
      </c>
      <c r="E595" s="45"/>
      <c r="F595" s="133">
        <v>11.69</v>
      </c>
      <c r="G595" s="203"/>
      <c r="H595" s="135"/>
      <c r="I595" s="204"/>
    </row>
    <row r="596" spans="1:9" ht="14">
      <c r="B596" s="39"/>
      <c r="C596" s="277"/>
      <c r="D596" s="57" t="s">
        <v>420</v>
      </c>
      <c r="E596" s="45"/>
      <c r="F596" s="133">
        <f>F580</f>
        <v>10.029250000000001</v>
      </c>
      <c r="G596" s="203"/>
      <c r="H596" s="135"/>
      <c r="I596" s="204"/>
    </row>
    <row r="597" spans="1:9">
      <c r="B597" s="39"/>
      <c r="C597" s="277"/>
      <c r="D597" s="57"/>
      <c r="E597" s="45"/>
      <c r="F597" s="133"/>
      <c r="G597" s="203"/>
      <c r="H597" s="135"/>
      <c r="I597" s="204"/>
    </row>
    <row r="598" spans="1:9" ht="14">
      <c r="B598" s="39"/>
      <c r="C598" s="277"/>
      <c r="D598" s="1" t="s">
        <v>421</v>
      </c>
      <c r="E598" s="45"/>
      <c r="F598" s="133"/>
      <c r="G598" s="203"/>
      <c r="H598" s="135"/>
      <c r="I598" s="204"/>
    </row>
    <row r="599" spans="1:9" ht="26">
      <c r="B599" s="39" t="s">
        <v>378</v>
      </c>
      <c r="C599" s="277"/>
      <c r="D599" s="13" t="s">
        <v>422</v>
      </c>
      <c r="E599" s="45" t="s">
        <v>400</v>
      </c>
      <c r="F599" s="133">
        <v>4</v>
      </c>
      <c r="G599" s="203">
        <v>2800</v>
      </c>
      <c r="H599" s="135">
        <f>F599*G599</f>
        <v>11200</v>
      </c>
      <c r="I599" s="204"/>
    </row>
    <row r="600" spans="1:9">
      <c r="B600" s="39"/>
      <c r="C600" s="277"/>
      <c r="D600" s="1"/>
      <c r="E600" s="45"/>
      <c r="F600" s="133"/>
      <c r="G600" s="203"/>
      <c r="H600" s="135"/>
      <c r="I600" s="204"/>
    </row>
    <row r="601" spans="1:9" ht="14">
      <c r="B601" s="39"/>
      <c r="C601" s="277"/>
      <c r="D601" s="202" t="s">
        <v>423</v>
      </c>
      <c r="E601" s="45"/>
      <c r="F601" s="133"/>
      <c r="G601" s="203"/>
      <c r="H601" s="135"/>
      <c r="I601" s="204"/>
    </row>
    <row r="602" spans="1:9" ht="24">
      <c r="B602" s="220" t="s">
        <v>378</v>
      </c>
      <c r="C602" s="277"/>
      <c r="D602" s="202"/>
      <c r="E602" s="139" t="s">
        <v>7</v>
      </c>
      <c r="F602" s="140"/>
      <c r="G602" s="221">
        <v>5000</v>
      </c>
      <c r="H602" s="142"/>
      <c r="I602" s="204"/>
    </row>
    <row r="604" spans="1:9" ht="15">
      <c r="A604" s="223"/>
      <c r="B604" s="171"/>
      <c r="C604" s="375"/>
      <c r="D604" s="78" t="s">
        <v>703</v>
      </c>
      <c r="E604" s="77" t="s">
        <v>48</v>
      </c>
      <c r="F604" s="162" t="s">
        <v>60</v>
      </c>
      <c r="G604" s="134"/>
      <c r="H604" s="177">
        <f>SUM(H608:H757)</f>
        <v>1080298.9758199996</v>
      </c>
      <c r="I604" s="177">
        <f>SUM(I608:I757)</f>
        <v>108.00489858089999</v>
      </c>
    </row>
    <row r="605" spans="1:9" ht="42">
      <c r="A605" s="223"/>
      <c r="B605" s="171"/>
      <c r="C605" s="375"/>
      <c r="D605" s="13" t="s">
        <v>793</v>
      </c>
      <c r="E605" s="174"/>
      <c r="F605" s="133"/>
      <c r="G605" s="134"/>
      <c r="H605" s="135"/>
      <c r="I605" s="136"/>
    </row>
    <row r="606" spans="1:9">
      <c r="A606" s="223"/>
      <c r="B606" s="171"/>
      <c r="C606" s="375"/>
      <c r="D606" s="1"/>
      <c r="E606" s="174"/>
      <c r="F606" s="133"/>
      <c r="G606" s="134"/>
      <c r="H606" s="135"/>
      <c r="I606" s="136"/>
    </row>
    <row r="607" spans="1:9" ht="27">
      <c r="A607" s="223"/>
      <c r="B607" s="171"/>
      <c r="C607" s="375"/>
      <c r="D607" s="77" t="s">
        <v>704</v>
      </c>
      <c r="E607" s="174"/>
      <c r="F607" s="133"/>
      <c r="G607" s="134"/>
      <c r="H607" s="135"/>
      <c r="I607" s="136"/>
    </row>
    <row r="608" spans="1:9" ht="104">
      <c r="A608" s="224"/>
      <c r="B608" s="362" t="s">
        <v>157</v>
      </c>
      <c r="C608" s="383" t="s">
        <v>714</v>
      </c>
      <c r="D608" s="132" t="s">
        <v>428</v>
      </c>
      <c r="E608" s="225" t="s">
        <v>4</v>
      </c>
      <c r="F608" s="226">
        <f>F636</f>
        <v>61.750500000000002</v>
      </c>
      <c r="G608" s="227">
        <f>2200+170</f>
        <v>2370</v>
      </c>
      <c r="H608" s="228">
        <f t="shared" ref="H608:H613" si="5">F608*G608</f>
        <v>146348.685</v>
      </c>
      <c r="I608" s="30">
        <f>0.0126*F608</f>
        <v>0.77805630000000003</v>
      </c>
    </row>
    <row r="609" spans="1:9" ht="24">
      <c r="A609" s="229"/>
      <c r="B609" s="362" t="s">
        <v>157</v>
      </c>
      <c r="C609" s="379"/>
      <c r="D609" s="153" t="s">
        <v>429</v>
      </c>
      <c r="E609" s="230" t="s">
        <v>2</v>
      </c>
      <c r="F609" s="140">
        <f>F646</f>
        <v>63.634999999999991</v>
      </c>
      <c r="G609" s="141">
        <v>300</v>
      </c>
      <c r="H609" s="228">
        <f t="shared" si="5"/>
        <v>19090.499999999996</v>
      </c>
      <c r="I609" s="143">
        <f>0.001*F609</f>
        <v>6.3634999999999997E-2</v>
      </c>
    </row>
    <row r="610" spans="1:9" ht="39">
      <c r="A610" s="229"/>
      <c r="B610" s="362" t="s">
        <v>157</v>
      </c>
      <c r="C610" s="379" t="s">
        <v>715</v>
      </c>
      <c r="D610" s="231" t="s">
        <v>430</v>
      </c>
      <c r="E610" s="230" t="s">
        <v>431</v>
      </c>
      <c r="F610" s="140">
        <f>81.45*1.15</f>
        <v>93.66749999999999</v>
      </c>
      <c r="G610" s="141">
        <v>600</v>
      </c>
      <c r="H610" s="228">
        <f t="shared" si="5"/>
        <v>56200.499999999993</v>
      </c>
      <c r="I610" s="232">
        <f>0.002*F610</f>
        <v>0.18733499999999997</v>
      </c>
    </row>
    <row r="611" spans="1:9">
      <c r="A611" s="233"/>
      <c r="B611" s="172" t="s">
        <v>432</v>
      </c>
      <c r="C611" s="376" t="s">
        <v>433</v>
      </c>
      <c r="D611" s="176" t="s">
        <v>434</v>
      </c>
      <c r="E611" s="139" t="s">
        <v>4</v>
      </c>
      <c r="F611" s="140">
        <v>61.8</v>
      </c>
      <c r="G611" s="141">
        <v>504</v>
      </c>
      <c r="H611" s="142">
        <f t="shared" si="5"/>
        <v>31147.199999999997</v>
      </c>
      <c r="I611" s="143">
        <f>0.14*F611</f>
        <v>8.652000000000001</v>
      </c>
    </row>
    <row r="612" spans="1:9" ht="26">
      <c r="A612" s="233"/>
      <c r="B612" s="363">
        <v>711199101</v>
      </c>
      <c r="C612" s="277"/>
      <c r="D612" s="137" t="s">
        <v>435</v>
      </c>
      <c r="E612" s="174" t="s">
        <v>2</v>
      </c>
      <c r="F612" s="133">
        <f>F656</f>
        <v>81.45</v>
      </c>
      <c r="G612" s="134">
        <v>66.2</v>
      </c>
      <c r="H612" s="142">
        <f t="shared" si="5"/>
        <v>5391.9900000000007</v>
      </c>
      <c r="I612" s="143">
        <f>0*F612</f>
        <v>0</v>
      </c>
    </row>
    <row r="613" spans="1:9" ht="26">
      <c r="A613" s="233"/>
      <c r="B613" s="172" t="s">
        <v>436</v>
      </c>
      <c r="C613" s="379"/>
      <c r="D613" s="137" t="s">
        <v>437</v>
      </c>
      <c r="E613" s="139" t="s">
        <v>2</v>
      </c>
      <c r="F613" s="140">
        <f>81.5*1.1</f>
        <v>89.65</v>
      </c>
      <c r="G613" s="141">
        <v>42.2</v>
      </c>
      <c r="H613" s="142">
        <f t="shared" si="5"/>
        <v>3783.2300000000005</v>
      </c>
      <c r="I613" s="143">
        <f>0.00011*F613</f>
        <v>9.8615000000000005E-3</v>
      </c>
    </row>
    <row r="614" spans="1:9">
      <c r="A614" s="233"/>
      <c r="B614" s="172"/>
      <c r="C614" s="379"/>
      <c r="D614" s="137"/>
      <c r="E614" s="139"/>
      <c r="F614" s="140"/>
      <c r="G614" s="141"/>
      <c r="H614" s="142"/>
      <c r="I614" s="143"/>
    </row>
    <row r="615" spans="1:9" ht="52">
      <c r="A615" s="233"/>
      <c r="B615" s="171" t="s">
        <v>438</v>
      </c>
      <c r="C615" s="277" t="s">
        <v>716</v>
      </c>
      <c r="D615" s="137" t="s">
        <v>439</v>
      </c>
      <c r="E615" s="234" t="s">
        <v>4</v>
      </c>
      <c r="F615" s="235">
        <f>61.8*1.15</f>
        <v>71.069999999999993</v>
      </c>
      <c r="G615" s="236">
        <v>83.6</v>
      </c>
      <c r="H615" s="237">
        <f>F615*G615</f>
        <v>5941.4519999999993</v>
      </c>
      <c r="I615" s="27">
        <f>0.0005*F615</f>
        <v>3.5534999999999997E-2</v>
      </c>
    </row>
    <row r="616" spans="1:9">
      <c r="A616" s="233"/>
      <c r="B616" s="250" t="s">
        <v>440</v>
      </c>
      <c r="C616" s="277" t="s">
        <v>716</v>
      </c>
      <c r="D616" s="138" t="s">
        <v>441</v>
      </c>
      <c r="E616" s="234" t="s">
        <v>4</v>
      </c>
      <c r="F616" s="235">
        <v>71.099999999999994</v>
      </c>
      <c r="G616" s="236">
        <v>39.200000000000003</v>
      </c>
      <c r="H616" s="237">
        <f>F616*G616</f>
        <v>2787.12</v>
      </c>
      <c r="I616" s="27">
        <f>0.000013*F616</f>
        <v>9.2429999999999986E-4</v>
      </c>
    </row>
    <row r="617" spans="1:9" ht="37">
      <c r="A617" s="233"/>
      <c r="B617" s="171" t="s">
        <v>180</v>
      </c>
      <c r="C617" s="277" t="s">
        <v>717</v>
      </c>
      <c r="D617" s="238" t="s">
        <v>442</v>
      </c>
      <c r="E617" s="45" t="s">
        <v>4</v>
      </c>
      <c r="F617" s="133">
        <f>61.8*1.15</f>
        <v>71.069999999999993</v>
      </c>
      <c r="G617" s="134">
        <f>281*1.151</f>
        <v>323.43099999999998</v>
      </c>
      <c r="H617" s="135">
        <f>F617*G617</f>
        <v>22986.241169999998</v>
      </c>
      <c r="I617" s="136"/>
    </row>
    <row r="618" spans="1:9" ht="38">
      <c r="A618" s="223"/>
      <c r="B618" s="171" t="s">
        <v>443</v>
      </c>
      <c r="C618" s="277" t="s">
        <v>717</v>
      </c>
      <c r="D618" s="238" t="s">
        <v>444</v>
      </c>
      <c r="E618" s="45" t="s">
        <v>4</v>
      </c>
      <c r="F618" s="133">
        <v>61.8</v>
      </c>
      <c r="G618" s="134">
        <v>43.7</v>
      </c>
      <c r="H618" s="135">
        <f>F618*G618</f>
        <v>2700.66</v>
      </c>
      <c r="I618" s="136"/>
    </row>
    <row r="619" spans="1:9">
      <c r="A619" s="223"/>
      <c r="B619" s="171"/>
      <c r="C619" s="277"/>
      <c r="D619" s="238"/>
      <c r="E619" s="45"/>
      <c r="F619" s="133"/>
      <c r="G619" s="134"/>
      <c r="H619" s="135"/>
      <c r="I619" s="136"/>
    </row>
    <row r="620" spans="1:9">
      <c r="A620" s="223"/>
      <c r="B620" s="171" t="s">
        <v>445</v>
      </c>
      <c r="C620" s="277" t="s">
        <v>718</v>
      </c>
      <c r="D620" s="137" t="s">
        <v>710</v>
      </c>
      <c r="E620" s="45"/>
      <c r="F620" s="133"/>
      <c r="G620" s="134"/>
      <c r="H620" s="135"/>
      <c r="I620" s="136"/>
    </row>
    <row r="621" spans="1:9">
      <c r="A621" s="223"/>
      <c r="B621" s="171" t="s">
        <v>446</v>
      </c>
      <c r="C621" s="277" t="s">
        <v>719</v>
      </c>
      <c r="D621" s="137" t="s">
        <v>447</v>
      </c>
      <c r="E621" s="45" t="s">
        <v>4</v>
      </c>
      <c r="F621" s="133">
        <f>F636</f>
        <v>61.750500000000002</v>
      </c>
      <c r="G621" s="134">
        <v>455</v>
      </c>
      <c r="H621" s="135">
        <f t="shared" ref="H621:H631" si="6">F621*G621</f>
        <v>28096.477500000001</v>
      </c>
      <c r="I621" s="136">
        <f>0.10061*F621</f>
        <v>6.2127178050000005</v>
      </c>
    </row>
    <row r="622" spans="1:9">
      <c r="A622" s="223"/>
      <c r="B622" s="171"/>
      <c r="C622" s="277"/>
      <c r="D622" s="137"/>
      <c r="E622" s="45"/>
      <c r="F622" s="133"/>
      <c r="G622" s="134"/>
      <c r="H622" s="135"/>
      <c r="I622" s="136"/>
    </row>
    <row r="623" spans="1:9" ht="65">
      <c r="A623" s="223"/>
      <c r="B623" s="172" t="s">
        <v>448</v>
      </c>
      <c r="C623" s="277" t="s">
        <v>720</v>
      </c>
      <c r="D623" s="137" t="s">
        <v>449</v>
      </c>
      <c r="E623" s="234" t="s">
        <v>4</v>
      </c>
      <c r="F623" s="239">
        <f>75.568*1.15+20.862*1.2</f>
        <v>111.93759999999997</v>
      </c>
      <c r="G623" s="236">
        <f>134*1.155</f>
        <v>154.77000000000001</v>
      </c>
      <c r="H623" s="237">
        <f t="shared" si="6"/>
        <v>17324.582351999998</v>
      </c>
      <c r="I623" s="27">
        <f>0.00454*F623</f>
        <v>0.50819670399999983</v>
      </c>
    </row>
    <row r="624" spans="1:9" ht="78">
      <c r="A624" s="223"/>
      <c r="B624" s="172" t="s">
        <v>448</v>
      </c>
      <c r="C624" s="277" t="s">
        <v>720</v>
      </c>
      <c r="D624" s="137" t="s">
        <v>450</v>
      </c>
      <c r="E624" s="234" t="s">
        <v>4</v>
      </c>
      <c r="F624" s="239">
        <f>F623</f>
        <v>111.93759999999997</v>
      </c>
      <c r="G624" s="236">
        <f>141*1.155</f>
        <v>162.85499999999999</v>
      </c>
      <c r="H624" s="237">
        <f t="shared" si="6"/>
        <v>18229.597847999994</v>
      </c>
      <c r="I624" s="27">
        <f>0.00454*F624</f>
        <v>0.50819670399999983</v>
      </c>
    </row>
    <row r="625" spans="1:9" ht="39">
      <c r="A625" s="223"/>
      <c r="B625" s="171" t="s">
        <v>451</v>
      </c>
      <c r="C625" s="277" t="s">
        <v>720</v>
      </c>
      <c r="D625" s="137" t="s">
        <v>452</v>
      </c>
      <c r="E625" s="234" t="s">
        <v>4</v>
      </c>
      <c r="F625" s="235">
        <v>75.567999999999998</v>
      </c>
      <c r="G625" s="236">
        <f>113*2</f>
        <v>226</v>
      </c>
      <c r="H625" s="237">
        <f t="shared" si="6"/>
        <v>17078.367999999999</v>
      </c>
      <c r="I625" s="27">
        <f>0.0004*F625</f>
        <v>3.0227199999999999E-2</v>
      </c>
    </row>
    <row r="626" spans="1:9" ht="39">
      <c r="A626" s="223"/>
      <c r="B626" s="171" t="s">
        <v>453</v>
      </c>
      <c r="C626" s="277" t="s">
        <v>720</v>
      </c>
      <c r="D626" s="137" t="s">
        <v>454</v>
      </c>
      <c r="E626" s="234" t="s">
        <v>4</v>
      </c>
      <c r="F626" s="235">
        <v>20.861999999999998</v>
      </c>
      <c r="G626" s="236">
        <f>130*2</f>
        <v>260</v>
      </c>
      <c r="H626" s="237">
        <f t="shared" si="6"/>
        <v>5424.12</v>
      </c>
      <c r="I626" s="27">
        <f>0.0004*F626</f>
        <v>8.3447999999999994E-3</v>
      </c>
    </row>
    <row r="627" spans="1:9">
      <c r="A627" s="223"/>
      <c r="B627" s="171"/>
      <c r="C627" s="277"/>
      <c r="D627" s="137"/>
      <c r="E627" s="234"/>
      <c r="F627" s="235"/>
      <c r="G627" s="236"/>
      <c r="H627" s="237"/>
      <c r="I627" s="27"/>
    </row>
    <row r="628" spans="1:9" ht="26">
      <c r="A628" s="223"/>
      <c r="B628" s="171" t="s">
        <v>455</v>
      </c>
      <c r="C628" s="277" t="s">
        <v>721</v>
      </c>
      <c r="D628" s="137" t="s">
        <v>456</v>
      </c>
      <c r="E628" s="45" t="s">
        <v>4</v>
      </c>
      <c r="F628" s="133">
        <v>75.567999999999998</v>
      </c>
      <c r="G628" s="134">
        <v>523</v>
      </c>
      <c r="H628" s="135">
        <f t="shared" si="6"/>
        <v>39522.063999999998</v>
      </c>
      <c r="I628" s="136">
        <f>0.22798*F628</f>
        <v>17.22799264</v>
      </c>
    </row>
    <row r="629" spans="1:9" ht="24">
      <c r="A629" s="223"/>
      <c r="B629" s="171" t="s">
        <v>457</v>
      </c>
      <c r="C629" s="277" t="s">
        <v>722</v>
      </c>
      <c r="D629" s="137" t="s">
        <v>458</v>
      </c>
      <c r="E629" s="45" t="s">
        <v>4</v>
      </c>
      <c r="F629" s="133">
        <f>75.568*1.15</f>
        <v>86.903199999999984</v>
      </c>
      <c r="G629" s="134">
        <v>91.6</v>
      </c>
      <c r="H629" s="135">
        <f t="shared" si="6"/>
        <v>7960.3331199999984</v>
      </c>
      <c r="I629" s="136">
        <f>0.00069*F629</f>
        <v>5.9963207999999983E-2</v>
      </c>
    </row>
    <row r="630" spans="1:9">
      <c r="A630" s="223"/>
      <c r="B630" s="171"/>
      <c r="C630" s="277"/>
      <c r="D630" s="137"/>
      <c r="E630" s="45"/>
      <c r="F630" s="133"/>
      <c r="G630" s="134"/>
      <c r="H630" s="135"/>
      <c r="I630" s="136"/>
    </row>
    <row r="631" spans="1:9">
      <c r="A631" s="223"/>
      <c r="B631" s="171" t="s">
        <v>459</v>
      </c>
      <c r="C631" s="277" t="s">
        <v>723</v>
      </c>
      <c r="D631" s="137" t="s">
        <v>460</v>
      </c>
      <c r="E631" s="45" t="s">
        <v>8</v>
      </c>
      <c r="F631" s="133">
        <f>F679</f>
        <v>30.496099999999998</v>
      </c>
      <c r="G631" s="134">
        <v>1360</v>
      </c>
      <c r="H631" s="135">
        <f t="shared" si="6"/>
        <v>41474.695999999996</v>
      </c>
      <c r="I631" s="136">
        <f>1.98*F631</f>
        <v>60.382277999999999</v>
      </c>
    </row>
    <row r="632" spans="1:9">
      <c r="A632" s="223"/>
      <c r="B632" s="171"/>
      <c r="C632" s="277" t="s">
        <v>461</v>
      </c>
      <c r="D632" s="137" t="s">
        <v>462</v>
      </c>
      <c r="E632" s="45"/>
      <c r="F632" s="133"/>
      <c r="G632" s="134"/>
      <c r="H632" s="135"/>
      <c r="I632" s="136"/>
    </row>
    <row r="633" spans="1:9">
      <c r="A633" s="223"/>
      <c r="B633" s="171"/>
      <c r="C633" s="277"/>
      <c r="D633" s="137"/>
      <c r="E633" s="174"/>
      <c r="F633" s="133"/>
      <c r="G633" s="134"/>
      <c r="H633" s="135"/>
      <c r="I633" s="240"/>
    </row>
    <row r="634" spans="1:9" ht="28">
      <c r="A634" s="223"/>
      <c r="B634" s="171"/>
      <c r="C634" s="277"/>
      <c r="D634" s="57" t="s">
        <v>463</v>
      </c>
      <c r="E634" s="174"/>
      <c r="F634" s="133"/>
      <c r="G634" s="141"/>
      <c r="H634" s="135"/>
      <c r="I634" s="136"/>
    </row>
    <row r="635" spans="1:9">
      <c r="A635" s="223"/>
      <c r="B635" s="171"/>
      <c r="C635" s="277"/>
      <c r="D635" s="167"/>
      <c r="E635" s="174"/>
      <c r="F635" s="133"/>
      <c r="G635" s="134"/>
      <c r="H635" s="135"/>
      <c r="I635" s="136"/>
    </row>
    <row r="636" spans="1:9">
      <c r="A636" s="223"/>
      <c r="B636" s="171"/>
      <c r="C636" s="368" t="s">
        <v>711</v>
      </c>
      <c r="D636" s="167" t="s">
        <v>464</v>
      </c>
      <c r="E636" s="45" t="s">
        <v>4</v>
      </c>
      <c r="F636" s="241">
        <f>SUM(F637:F644)</f>
        <v>61.750500000000002</v>
      </c>
      <c r="G636" s="134"/>
      <c r="H636" s="135"/>
      <c r="I636" s="136"/>
    </row>
    <row r="637" spans="1:9">
      <c r="A637" s="223"/>
      <c r="B637" s="171"/>
      <c r="C637" s="368"/>
      <c r="D637" s="137" t="s">
        <v>465</v>
      </c>
      <c r="E637" s="45"/>
      <c r="F637" s="242">
        <f>6.7*4.235+0.9*0.115</f>
        <v>28.478000000000002</v>
      </c>
      <c r="G637" s="134"/>
      <c r="H637" s="135"/>
      <c r="I637" s="136"/>
    </row>
    <row r="638" spans="1:9">
      <c r="A638" s="223"/>
      <c r="B638" s="171"/>
      <c r="C638" s="368"/>
      <c r="D638" s="137" t="s">
        <v>466</v>
      </c>
      <c r="E638" s="45"/>
      <c r="F638" s="243">
        <f>(2.49*2.535+0.9*0.115)</f>
        <v>6.4156500000000012</v>
      </c>
      <c r="G638" s="134"/>
      <c r="H638" s="135"/>
      <c r="I638" s="136"/>
    </row>
    <row r="639" spans="1:9">
      <c r="A639" s="223"/>
      <c r="B639" s="171"/>
      <c r="C639" s="368"/>
      <c r="D639" s="137" t="s">
        <v>467</v>
      </c>
      <c r="E639" s="45"/>
      <c r="F639" s="243">
        <f>(2.24*2.535+1.2*0.115)</f>
        <v>5.8164000000000007</v>
      </c>
      <c r="G639" s="134"/>
      <c r="H639" s="135"/>
      <c r="I639" s="136"/>
    </row>
    <row r="640" spans="1:9">
      <c r="A640" s="223"/>
      <c r="B640" s="171"/>
      <c r="C640" s="368"/>
      <c r="D640" s="137" t="s">
        <v>468</v>
      </c>
      <c r="E640" s="45"/>
      <c r="F640" s="243">
        <f>(2.995*2.2)</f>
        <v>6.5890000000000004</v>
      </c>
      <c r="G640" s="134"/>
      <c r="H640" s="135"/>
      <c r="I640" s="136"/>
    </row>
    <row r="641" spans="1:9">
      <c r="A641" s="223"/>
      <c r="B641" s="171"/>
      <c r="C641" s="368"/>
      <c r="D641" s="137" t="s">
        <v>469</v>
      </c>
      <c r="E641" s="45"/>
      <c r="F641" s="243">
        <f>(1.65*0.95+0.8*0.115)</f>
        <v>1.6595</v>
      </c>
      <c r="G641" s="134"/>
      <c r="H641" s="135"/>
      <c r="I641" s="136"/>
    </row>
    <row r="642" spans="1:9">
      <c r="A642" s="223"/>
      <c r="B642" s="171"/>
      <c r="C642" s="368"/>
      <c r="D642" s="137" t="s">
        <v>470</v>
      </c>
      <c r="E642" s="45"/>
      <c r="F642" s="243">
        <f>(1.65*1.135+0.8*0.115)</f>
        <v>1.96475</v>
      </c>
      <c r="G642" s="134"/>
      <c r="H642" s="135"/>
      <c r="I642" s="136"/>
    </row>
    <row r="643" spans="1:9">
      <c r="A643" s="223"/>
      <c r="B643" s="171"/>
      <c r="C643" s="368"/>
      <c r="D643" s="137" t="s">
        <v>471</v>
      </c>
      <c r="E643" s="45"/>
      <c r="F643" s="243">
        <f>(1.74*3.11)</f>
        <v>5.4113999999999995</v>
      </c>
      <c r="G643" s="134"/>
      <c r="H643" s="135"/>
      <c r="I643" s="136"/>
    </row>
    <row r="644" spans="1:9">
      <c r="A644" s="223"/>
      <c r="B644" s="171"/>
      <c r="C644" s="277"/>
      <c r="D644" s="137" t="s">
        <v>472</v>
      </c>
      <c r="E644" s="45"/>
      <c r="F644" s="243">
        <f>(2.28*2.28+0.9*0.115+1.34*0.085)</f>
        <v>5.4157999999999999</v>
      </c>
      <c r="G644" s="134"/>
      <c r="H644" s="135"/>
      <c r="I644" s="136"/>
    </row>
    <row r="645" spans="1:9">
      <c r="A645" s="223"/>
      <c r="B645" s="171"/>
      <c r="C645" s="277"/>
      <c r="D645" s="137"/>
      <c r="E645" s="45"/>
      <c r="F645" s="243"/>
      <c r="G645" s="134"/>
      <c r="H645" s="135"/>
      <c r="I645" s="136"/>
    </row>
    <row r="646" spans="1:9">
      <c r="A646" s="223"/>
      <c r="B646" s="171"/>
      <c r="C646" s="368"/>
      <c r="D646" s="137" t="s">
        <v>473</v>
      </c>
      <c r="E646" s="45" t="s">
        <v>2</v>
      </c>
      <c r="F646" s="241">
        <f>SUM(F647:F654)</f>
        <v>63.634999999999991</v>
      </c>
      <c r="G646" s="134"/>
      <c r="H646" s="135"/>
      <c r="I646" s="136"/>
    </row>
    <row r="647" spans="1:9">
      <c r="A647" s="244"/>
      <c r="B647" s="364"/>
      <c r="C647" s="384"/>
      <c r="D647" s="245" t="s">
        <v>474</v>
      </c>
      <c r="E647" s="246"/>
      <c r="F647" s="245">
        <f>(6.7+4.235)*2-(0.8+1.1)</f>
        <v>19.970000000000002</v>
      </c>
      <c r="G647" s="247"/>
      <c r="H647" s="248"/>
      <c r="I647" s="136"/>
    </row>
    <row r="648" spans="1:9">
      <c r="A648" s="244"/>
      <c r="B648" s="364"/>
      <c r="C648" s="385"/>
      <c r="D648" s="245" t="s">
        <v>475</v>
      </c>
      <c r="E648" s="246"/>
      <c r="F648" s="245">
        <f>(2.49+2.535)*2-(0.8)</f>
        <v>9.25</v>
      </c>
      <c r="G648" s="247"/>
      <c r="H648" s="248"/>
      <c r="I648" s="136"/>
    </row>
    <row r="649" spans="1:9">
      <c r="A649" s="244"/>
      <c r="B649" s="364"/>
      <c r="C649" s="385"/>
      <c r="D649" s="245" t="s">
        <v>476</v>
      </c>
      <c r="E649" s="246"/>
      <c r="F649" s="245">
        <f>(2.24+2.535)-1.1</f>
        <v>3.6750000000000003</v>
      </c>
      <c r="G649" s="247"/>
      <c r="H649" s="248"/>
      <c r="I649" s="136"/>
    </row>
    <row r="650" spans="1:9">
      <c r="A650" s="244"/>
      <c r="B650" s="364"/>
      <c r="C650" s="385"/>
      <c r="D650" s="245" t="s">
        <v>477</v>
      </c>
      <c r="E650" s="246"/>
      <c r="F650" s="245">
        <f>(3+2.2)*2-(0.7*2+0.8)</f>
        <v>8.1999999999999993</v>
      </c>
      <c r="G650" s="247"/>
      <c r="H650" s="248"/>
      <c r="I650" s="136"/>
    </row>
    <row r="651" spans="1:9">
      <c r="A651" s="223"/>
      <c r="B651" s="171"/>
      <c r="C651" s="368"/>
      <c r="D651" s="245" t="s">
        <v>478</v>
      </c>
      <c r="E651" s="246"/>
      <c r="F651" s="245">
        <f>(1.65+1.042)*2-0.7</f>
        <v>4.6840000000000002</v>
      </c>
      <c r="G651" s="247"/>
      <c r="H651" s="135"/>
      <c r="I651" s="136"/>
    </row>
    <row r="652" spans="1:9">
      <c r="A652" s="223"/>
      <c r="B652" s="171"/>
      <c r="C652" s="368"/>
      <c r="D652" s="245" t="s">
        <v>479</v>
      </c>
      <c r="E652" s="246"/>
      <c r="F652" s="245">
        <f>(1.65+1.043)*2-0.7</f>
        <v>4.6859999999999991</v>
      </c>
      <c r="G652" s="247"/>
      <c r="H652" s="135"/>
      <c r="I652" s="136"/>
    </row>
    <row r="653" spans="1:9">
      <c r="A653" s="223"/>
      <c r="B653" s="171"/>
      <c r="C653" s="368"/>
      <c r="D653" s="245" t="s">
        <v>480</v>
      </c>
      <c r="E653" s="246"/>
      <c r="F653" s="245">
        <f>(1.74+3.225*2)-0.8*2</f>
        <v>6.59</v>
      </c>
      <c r="G653" s="247"/>
      <c r="H653" s="135"/>
      <c r="I653" s="136"/>
    </row>
    <row r="654" spans="1:9">
      <c r="A654" s="223"/>
      <c r="B654" s="171"/>
      <c r="C654" s="277"/>
      <c r="D654" s="245" t="s">
        <v>481</v>
      </c>
      <c r="E654" s="246"/>
      <c r="F654" s="245">
        <f>(2.28*4)-(0.8+1.74)</f>
        <v>6.5799999999999992</v>
      </c>
      <c r="G654" s="247"/>
      <c r="H654" s="135"/>
      <c r="I654" s="136"/>
    </row>
    <row r="655" spans="1:9">
      <c r="A655" s="223"/>
      <c r="B655" s="171"/>
      <c r="C655" s="277"/>
      <c r="D655" s="137"/>
      <c r="E655" s="45"/>
      <c r="F655" s="243"/>
      <c r="G655" s="134"/>
      <c r="H655" s="135"/>
      <c r="I655" s="136"/>
    </row>
    <row r="656" spans="1:9">
      <c r="A656" s="223"/>
      <c r="B656" s="171"/>
      <c r="C656" s="368" t="s">
        <v>712</v>
      </c>
      <c r="D656" s="137" t="s">
        <v>482</v>
      </c>
      <c r="E656" s="45" t="s">
        <v>2</v>
      </c>
      <c r="F656" s="249">
        <f>SUM(F657:F664)</f>
        <v>81.45</v>
      </c>
      <c r="G656" s="134"/>
      <c r="H656" s="135"/>
      <c r="I656" s="136"/>
    </row>
    <row r="657" spans="1:9">
      <c r="A657" s="223"/>
      <c r="B657" s="171"/>
      <c r="C657" s="277"/>
      <c r="D657" s="137" t="s">
        <v>483</v>
      </c>
      <c r="E657" s="45"/>
      <c r="F657" s="242">
        <f>(6.7+4.235)*2+0.15*2</f>
        <v>22.17</v>
      </c>
      <c r="G657" s="134"/>
      <c r="H657" s="135"/>
      <c r="I657" s="136"/>
    </row>
    <row r="658" spans="1:9">
      <c r="A658" s="223"/>
      <c r="B658" s="171"/>
      <c r="C658" s="277"/>
      <c r="D658" s="137" t="s">
        <v>484</v>
      </c>
      <c r="E658" s="45"/>
      <c r="F658" s="243">
        <f>(2.49+2.535)*2+0.15*2</f>
        <v>10.350000000000001</v>
      </c>
      <c r="G658" s="134"/>
      <c r="H658" s="135"/>
      <c r="I658" s="136"/>
    </row>
    <row r="659" spans="1:9">
      <c r="A659" s="223"/>
      <c r="B659" s="171"/>
      <c r="C659" s="277"/>
      <c r="D659" s="137" t="s">
        <v>485</v>
      </c>
      <c r="E659" s="45"/>
      <c r="F659" s="243">
        <f>(2.24+2.535)*2+0.15*2</f>
        <v>9.8500000000000014</v>
      </c>
      <c r="G659" s="134"/>
      <c r="H659" s="135"/>
      <c r="I659" s="136"/>
    </row>
    <row r="660" spans="1:9">
      <c r="A660" s="223"/>
      <c r="B660" s="171"/>
      <c r="C660" s="277"/>
      <c r="D660" s="137" t="s">
        <v>486</v>
      </c>
      <c r="E660" s="45"/>
      <c r="F660" s="243">
        <f>(3+2.2)*2</f>
        <v>10.4</v>
      </c>
      <c r="G660" s="134"/>
      <c r="H660" s="135"/>
      <c r="I660" s="136"/>
    </row>
    <row r="661" spans="1:9">
      <c r="A661" s="223"/>
      <c r="B661" s="171"/>
      <c r="C661" s="277"/>
      <c r="D661" s="137" t="s">
        <v>487</v>
      </c>
      <c r="E661" s="45"/>
      <c r="F661" s="243">
        <f>(1.65+1.042)*2+0.15*2</f>
        <v>5.6840000000000002</v>
      </c>
      <c r="G661" s="134"/>
      <c r="H661" s="135"/>
      <c r="I661" s="136"/>
    </row>
    <row r="662" spans="1:9">
      <c r="A662" s="223"/>
      <c r="B662" s="171"/>
      <c r="C662" s="277"/>
      <c r="D662" s="137" t="s">
        <v>488</v>
      </c>
      <c r="E662" s="45"/>
      <c r="F662" s="243">
        <f>(1.65+1.043)*2+0.15*2</f>
        <v>5.6859999999999991</v>
      </c>
      <c r="G662" s="134"/>
      <c r="H662" s="135"/>
      <c r="I662" s="136"/>
    </row>
    <row r="663" spans="1:9">
      <c r="A663" s="223"/>
      <c r="B663" s="171"/>
      <c r="C663" s="277"/>
      <c r="D663" s="137" t="s">
        <v>489</v>
      </c>
      <c r="E663" s="45"/>
      <c r="F663" s="243">
        <f>(1.74+3.225*2)</f>
        <v>8.19</v>
      </c>
      <c r="G663" s="134"/>
      <c r="H663" s="135"/>
      <c r="I663" s="136"/>
    </row>
    <row r="664" spans="1:9">
      <c r="A664" s="223"/>
      <c r="B664" s="171"/>
      <c r="C664" s="277"/>
      <c r="D664" s="137" t="s">
        <v>490</v>
      </c>
      <c r="E664" s="45"/>
      <c r="F664" s="243">
        <f>(2.28*4)</f>
        <v>9.1199999999999992</v>
      </c>
      <c r="G664" s="134"/>
      <c r="H664" s="135"/>
      <c r="I664" s="136"/>
    </row>
    <row r="665" spans="1:9">
      <c r="A665" s="223"/>
      <c r="B665" s="171"/>
      <c r="C665" s="277"/>
      <c r="D665" s="137"/>
      <c r="E665" s="45"/>
      <c r="F665" s="243"/>
      <c r="G665" s="134"/>
      <c r="H665" s="135"/>
      <c r="I665" s="136"/>
    </row>
    <row r="666" spans="1:9">
      <c r="A666" s="223"/>
      <c r="B666" s="171"/>
      <c r="C666" s="277" t="s">
        <v>713</v>
      </c>
      <c r="D666" s="137" t="s">
        <v>491</v>
      </c>
      <c r="E666" s="45" t="s">
        <v>2</v>
      </c>
      <c r="F666" s="249">
        <f>SUM(F667:F674)</f>
        <v>81.45</v>
      </c>
      <c r="G666" s="134"/>
      <c r="H666" s="135"/>
      <c r="I666" s="136"/>
    </row>
    <row r="667" spans="1:9">
      <c r="A667" s="223"/>
      <c r="B667" s="171"/>
      <c r="C667" s="277"/>
      <c r="D667" s="137" t="s">
        <v>483</v>
      </c>
      <c r="E667" s="45"/>
      <c r="F667" s="242">
        <f>(6.7+4.235)*2+0.15*2</f>
        <v>22.17</v>
      </c>
      <c r="G667" s="134"/>
      <c r="H667" s="135"/>
      <c r="I667" s="136"/>
    </row>
    <row r="668" spans="1:9">
      <c r="A668" s="223"/>
      <c r="B668" s="171"/>
      <c r="C668" s="277"/>
      <c r="D668" s="137" t="s">
        <v>484</v>
      </c>
      <c r="E668" s="45"/>
      <c r="F668" s="243">
        <f>(2.49+2.535)*2+0.15*2</f>
        <v>10.350000000000001</v>
      </c>
      <c r="G668" s="134"/>
      <c r="H668" s="135"/>
      <c r="I668" s="136"/>
    </row>
    <row r="669" spans="1:9">
      <c r="A669" s="223"/>
      <c r="B669" s="171"/>
      <c r="C669" s="277"/>
      <c r="D669" s="137" t="s">
        <v>485</v>
      </c>
      <c r="E669" s="45"/>
      <c r="F669" s="243">
        <f>(2.24+2.535)*2+0.15*2</f>
        <v>9.8500000000000014</v>
      </c>
      <c r="G669" s="134"/>
      <c r="H669" s="135"/>
      <c r="I669" s="136"/>
    </row>
    <row r="670" spans="1:9">
      <c r="A670" s="223"/>
      <c r="B670" s="171"/>
      <c r="C670" s="277"/>
      <c r="D670" s="137" t="s">
        <v>486</v>
      </c>
      <c r="E670" s="45"/>
      <c r="F670" s="243">
        <f>(3+2.2)*2</f>
        <v>10.4</v>
      </c>
      <c r="G670" s="134"/>
      <c r="H670" s="135"/>
      <c r="I670" s="136"/>
    </row>
    <row r="671" spans="1:9">
      <c r="A671" s="223"/>
      <c r="B671" s="171"/>
      <c r="C671" s="277"/>
      <c r="D671" s="137" t="s">
        <v>487</v>
      </c>
      <c r="E671" s="45"/>
      <c r="F671" s="243">
        <f>(1.65+1.042)*2+0.15*2</f>
        <v>5.6840000000000002</v>
      </c>
      <c r="G671" s="134"/>
      <c r="H671" s="135"/>
      <c r="I671" s="136"/>
    </row>
    <row r="672" spans="1:9">
      <c r="A672" s="223"/>
      <c r="B672" s="171"/>
      <c r="C672" s="277"/>
      <c r="D672" s="137" t="s">
        <v>488</v>
      </c>
      <c r="E672" s="45"/>
      <c r="F672" s="243">
        <f>(1.65+1.043)*2+0.15*2</f>
        <v>5.6859999999999991</v>
      </c>
      <c r="G672" s="134"/>
      <c r="H672" s="135"/>
      <c r="I672" s="136"/>
    </row>
    <row r="673" spans="1:9">
      <c r="A673" s="223"/>
      <c r="B673" s="171"/>
      <c r="C673" s="277"/>
      <c r="D673" s="137" t="s">
        <v>489</v>
      </c>
      <c r="E673" s="45"/>
      <c r="F673" s="243">
        <f>(1.74+3.225*2)</f>
        <v>8.19</v>
      </c>
      <c r="G673" s="134"/>
      <c r="H673" s="135"/>
      <c r="I673" s="136"/>
    </row>
    <row r="674" spans="1:9">
      <c r="A674" s="223"/>
      <c r="B674" s="171"/>
      <c r="C674" s="277"/>
      <c r="D674" s="137" t="s">
        <v>490</v>
      </c>
      <c r="E674" s="45"/>
      <c r="F674" s="243">
        <f>(2.28*4)</f>
        <v>9.1199999999999992</v>
      </c>
      <c r="G674" s="134"/>
      <c r="H674" s="135"/>
      <c r="I674" s="136"/>
    </row>
    <row r="675" spans="1:9">
      <c r="A675" s="223"/>
      <c r="B675" s="171"/>
      <c r="C675" s="171"/>
      <c r="D675" s="137"/>
      <c r="E675" s="45"/>
      <c r="F675" s="243"/>
      <c r="G675" s="134"/>
      <c r="H675" s="135"/>
      <c r="I675" s="136"/>
    </row>
    <row r="676" spans="1:9" ht="52">
      <c r="A676" s="233"/>
      <c r="B676" s="171"/>
      <c r="C676" s="250" t="s">
        <v>724</v>
      </c>
      <c r="D676" s="137" t="s">
        <v>492</v>
      </c>
      <c r="E676" s="45" t="s">
        <v>4</v>
      </c>
      <c r="F676" s="251">
        <f>((9.84*(6.7+0.32+0.36))+(3*2-0.54)*0.54)*1.15</f>
        <v>86.902740000000009</v>
      </c>
      <c r="G676" s="134"/>
      <c r="H676" s="135"/>
      <c r="I676" s="136"/>
    </row>
    <row r="677" spans="1:9" ht="26">
      <c r="A677" s="223"/>
      <c r="B677" s="171"/>
      <c r="C677" s="171" t="s">
        <v>725</v>
      </c>
      <c r="D677" s="137" t="s">
        <v>493</v>
      </c>
      <c r="E677" s="45" t="s">
        <v>4</v>
      </c>
      <c r="F677" s="243">
        <f>(7.92+9.84+0.54)*2*0.57*1.2</f>
        <v>25.034399999999994</v>
      </c>
      <c r="G677" s="134"/>
      <c r="H677" s="135"/>
      <c r="I677" s="136"/>
    </row>
    <row r="678" spans="1:9">
      <c r="A678" s="223"/>
      <c r="B678" s="171"/>
      <c r="C678" s="277"/>
      <c r="D678" s="137"/>
      <c r="E678" s="45"/>
      <c r="F678" s="243"/>
      <c r="G678" s="134"/>
      <c r="H678" s="135"/>
      <c r="I678" s="136"/>
    </row>
    <row r="679" spans="1:9" ht="52">
      <c r="A679" s="223"/>
      <c r="B679" s="171"/>
      <c r="C679" s="277" t="s">
        <v>726</v>
      </c>
      <c r="D679" s="137" t="s">
        <v>494</v>
      </c>
      <c r="E679" s="45" t="s">
        <v>8</v>
      </c>
      <c r="F679" s="243">
        <f>0.15*(9.84*(6.7+0.32*2))+(3*2-0.54)*0.54*0.15+(9.84+0.75*2)*0.5*2+(6.7+0.32*2)*0.5*2+(0.54*0.5*2)</f>
        <v>30.496099999999998</v>
      </c>
      <c r="G679" s="134"/>
      <c r="H679" s="135"/>
      <c r="I679" s="136"/>
    </row>
    <row r="680" spans="1:9">
      <c r="A680" s="223"/>
      <c r="B680" s="171"/>
      <c r="C680" s="277"/>
      <c r="D680" s="174"/>
      <c r="E680" s="174"/>
      <c r="F680" s="133"/>
      <c r="G680" s="134"/>
      <c r="H680" s="135"/>
      <c r="I680" s="136"/>
    </row>
    <row r="681" spans="1:9" ht="27">
      <c r="A681" s="223"/>
      <c r="B681" s="171"/>
      <c r="C681" s="375" t="s">
        <v>495</v>
      </c>
      <c r="D681" s="200" t="s">
        <v>786</v>
      </c>
      <c r="E681" s="174"/>
      <c r="F681" s="133"/>
      <c r="G681" s="134"/>
      <c r="H681" s="135"/>
      <c r="I681" s="136"/>
    </row>
    <row r="682" spans="1:9" ht="104">
      <c r="A682" s="229"/>
      <c r="B682" s="172" t="s">
        <v>157</v>
      </c>
      <c r="C682" s="376" t="s">
        <v>727</v>
      </c>
      <c r="D682" s="132" t="s">
        <v>496</v>
      </c>
      <c r="E682" s="230" t="s">
        <v>4</v>
      </c>
      <c r="F682" s="140">
        <v>67.5</v>
      </c>
      <c r="G682" s="141">
        <f>2200+170</f>
        <v>2370</v>
      </c>
      <c r="H682" s="142">
        <f t="shared" ref="H682:H692" si="7">F682*G682</f>
        <v>159975</v>
      </c>
      <c r="I682" s="30">
        <f>0.0126*F682</f>
        <v>0.85050000000000003</v>
      </c>
    </row>
    <row r="683" spans="1:9" ht="24">
      <c r="A683" s="229"/>
      <c r="B683" s="362" t="s">
        <v>157</v>
      </c>
      <c r="C683" s="376"/>
      <c r="D683" s="153" t="s">
        <v>497</v>
      </c>
      <c r="E683" s="230" t="s">
        <v>2</v>
      </c>
      <c r="F683" s="140">
        <f>F712</f>
        <v>38.950000000000003</v>
      </c>
      <c r="G683" s="141">
        <v>300</v>
      </c>
      <c r="H683" s="142">
        <f t="shared" si="7"/>
        <v>11685</v>
      </c>
      <c r="I683" s="143">
        <f>0.001*F683</f>
        <v>3.8950000000000005E-2</v>
      </c>
    </row>
    <row r="684" spans="1:9" ht="39">
      <c r="A684" s="229"/>
      <c r="B684" s="172" t="s">
        <v>157</v>
      </c>
      <c r="C684" s="379" t="s">
        <v>728</v>
      </c>
      <c r="D684" s="231" t="s">
        <v>498</v>
      </c>
      <c r="E684" s="230" t="s">
        <v>2</v>
      </c>
      <c r="F684" s="140">
        <f>59.3*1.15</f>
        <v>68.194999999999993</v>
      </c>
      <c r="G684" s="141">
        <v>600</v>
      </c>
      <c r="H684" s="142">
        <f t="shared" si="7"/>
        <v>40916.999999999993</v>
      </c>
      <c r="I684" s="232">
        <f>0.002*F684</f>
        <v>0.13638999999999998</v>
      </c>
    </row>
    <row r="685" spans="1:9">
      <c r="A685" s="233"/>
      <c r="B685" s="172" t="s">
        <v>432</v>
      </c>
      <c r="C685" s="376" t="s">
        <v>729</v>
      </c>
      <c r="D685" s="176" t="s">
        <v>434</v>
      </c>
      <c r="E685" s="139" t="s">
        <v>4</v>
      </c>
      <c r="F685" s="140">
        <v>67.5</v>
      </c>
      <c r="G685" s="141">
        <v>504</v>
      </c>
      <c r="H685" s="142">
        <f t="shared" si="7"/>
        <v>34020</v>
      </c>
      <c r="I685" s="143">
        <f>0.13*F685</f>
        <v>8.7750000000000004</v>
      </c>
    </row>
    <row r="686" spans="1:9" ht="26">
      <c r="A686" s="233"/>
      <c r="B686" s="363">
        <v>711199101</v>
      </c>
      <c r="C686" s="277"/>
      <c r="D686" s="252" t="s">
        <v>499</v>
      </c>
      <c r="E686" s="253" t="s">
        <v>2</v>
      </c>
      <c r="F686" s="190">
        <f>F704</f>
        <v>47.8</v>
      </c>
      <c r="G686" s="191">
        <v>66.2</v>
      </c>
      <c r="H686" s="192">
        <f t="shared" si="7"/>
        <v>3164.36</v>
      </c>
      <c r="I686" s="188">
        <f>0*F686</f>
        <v>0</v>
      </c>
    </row>
    <row r="687" spans="1:9" ht="26">
      <c r="A687" s="233"/>
      <c r="B687" s="172" t="s">
        <v>436</v>
      </c>
      <c r="C687" s="379"/>
      <c r="D687" s="252" t="s">
        <v>500</v>
      </c>
      <c r="E687" s="189" t="s">
        <v>2</v>
      </c>
      <c r="F687" s="190">
        <f>F686*1.1</f>
        <v>52.58</v>
      </c>
      <c r="G687" s="191">
        <v>42.2</v>
      </c>
      <c r="H687" s="192">
        <f t="shared" si="7"/>
        <v>2218.8760000000002</v>
      </c>
      <c r="I687" s="188">
        <f>0.00011*F687</f>
        <v>5.7838000000000004E-3</v>
      </c>
    </row>
    <row r="688" spans="1:9" ht="52">
      <c r="A688" s="254"/>
      <c r="B688" s="171" t="s">
        <v>501</v>
      </c>
      <c r="C688" s="277" t="s">
        <v>730</v>
      </c>
      <c r="D688" s="255" t="s">
        <v>502</v>
      </c>
      <c r="E688" s="256" t="s">
        <v>4</v>
      </c>
      <c r="F688" s="257">
        <f>51.58*1.1</f>
        <v>56.738</v>
      </c>
      <c r="G688" s="258">
        <v>64.8</v>
      </c>
      <c r="H688" s="259">
        <f t="shared" si="7"/>
        <v>3676.6223999999997</v>
      </c>
      <c r="I688" s="123">
        <f>0.0005*F688</f>
        <v>2.8369000000000002E-2</v>
      </c>
    </row>
    <row r="689" spans="1:9" ht="26">
      <c r="A689" s="254"/>
      <c r="B689" s="250" t="s">
        <v>440</v>
      </c>
      <c r="C689" s="277" t="s">
        <v>730</v>
      </c>
      <c r="D689" s="146" t="s">
        <v>503</v>
      </c>
      <c r="E689" s="256" t="s">
        <v>4</v>
      </c>
      <c r="F689" s="257">
        <f>F688</f>
        <v>56.738</v>
      </c>
      <c r="G689" s="258">
        <v>39.200000000000003</v>
      </c>
      <c r="H689" s="259">
        <f t="shared" si="7"/>
        <v>2224.1296000000002</v>
      </c>
      <c r="I689" s="123">
        <f>0.000013*F689</f>
        <v>7.3759399999999994E-4</v>
      </c>
    </row>
    <row r="690" spans="1:9" ht="26">
      <c r="A690" s="254"/>
      <c r="B690" s="250" t="s">
        <v>504</v>
      </c>
      <c r="C690" s="277" t="s">
        <v>731</v>
      </c>
      <c r="D690" s="260" t="s">
        <v>505</v>
      </c>
      <c r="E690" s="260" t="s">
        <v>4</v>
      </c>
      <c r="F690" s="261">
        <f>51.58*1.15</f>
        <v>59.316999999999993</v>
      </c>
      <c r="G690" s="262">
        <v>69.900000000000006</v>
      </c>
      <c r="H690" s="263">
        <f t="shared" si="7"/>
        <v>4146.2582999999995</v>
      </c>
      <c r="I690" s="264">
        <f>0.00039*F690</f>
        <v>2.3133629999999995E-2</v>
      </c>
    </row>
    <row r="691" spans="1:9" ht="24">
      <c r="A691" s="254"/>
      <c r="B691" s="365" t="s">
        <v>506</v>
      </c>
      <c r="C691" s="277" t="s">
        <v>731</v>
      </c>
      <c r="D691" s="260" t="s">
        <v>787</v>
      </c>
      <c r="E691" s="260" t="s">
        <v>4</v>
      </c>
      <c r="F691" s="261">
        <f>F690</f>
        <v>59.316999999999993</v>
      </c>
      <c r="G691" s="262">
        <v>25.2</v>
      </c>
      <c r="H691" s="263">
        <f t="shared" si="7"/>
        <v>1494.7883999999997</v>
      </c>
      <c r="I691" s="264">
        <f>0*F691</f>
        <v>0</v>
      </c>
    </row>
    <row r="692" spans="1:9" ht="26">
      <c r="A692" s="254"/>
      <c r="B692" s="365" t="s">
        <v>157</v>
      </c>
      <c r="C692" s="277" t="s">
        <v>732</v>
      </c>
      <c r="D692" s="164" t="s">
        <v>788</v>
      </c>
      <c r="E692" s="260" t="s">
        <v>4</v>
      </c>
      <c r="F692" s="261">
        <f>F714</f>
        <v>2.2000000000000002</v>
      </c>
      <c r="G692" s="262">
        <v>10600</v>
      </c>
      <c r="H692" s="263">
        <f t="shared" si="7"/>
        <v>23320.000000000004</v>
      </c>
      <c r="I692" s="264">
        <f>0.01*F692</f>
        <v>2.2000000000000002E-2</v>
      </c>
    </row>
    <row r="693" spans="1:9">
      <c r="A693" s="254"/>
      <c r="B693" s="365"/>
      <c r="C693" s="277"/>
      <c r="D693" s="164"/>
      <c r="E693" s="260"/>
      <c r="F693" s="261"/>
      <c r="G693" s="262"/>
      <c r="H693" s="263"/>
      <c r="I693" s="264"/>
    </row>
    <row r="694" spans="1:9">
      <c r="A694" s="254"/>
      <c r="B694" s="338" t="s">
        <v>508</v>
      </c>
      <c r="C694" s="277"/>
      <c r="D694" s="137" t="s">
        <v>509</v>
      </c>
      <c r="E694" s="137"/>
      <c r="F694" s="197"/>
      <c r="G694" s="265"/>
      <c r="H694" s="266"/>
      <c r="I694" s="267"/>
    </row>
    <row r="695" spans="1:9">
      <c r="A695" s="254"/>
      <c r="B695" s="338"/>
      <c r="C695" s="277"/>
      <c r="D695" s="137"/>
      <c r="E695" s="137"/>
      <c r="F695" s="197"/>
      <c r="G695" s="265"/>
      <c r="H695" s="266"/>
      <c r="I695" s="267"/>
    </row>
    <row r="696" spans="1:9" ht="27">
      <c r="A696" s="254"/>
      <c r="B696" s="338"/>
      <c r="C696" s="375" t="s">
        <v>495</v>
      </c>
      <c r="D696" s="152" t="s">
        <v>789</v>
      </c>
      <c r="E696" s="137"/>
      <c r="F696" s="197"/>
      <c r="G696" s="265"/>
      <c r="H696" s="266"/>
      <c r="I696" s="267"/>
    </row>
    <row r="697" spans="1:9">
      <c r="A697" s="254"/>
      <c r="B697" s="338"/>
      <c r="C697" s="375"/>
      <c r="D697" s="137" t="s">
        <v>510</v>
      </c>
      <c r="E697" s="137"/>
      <c r="F697" s="197"/>
      <c r="G697" s="265"/>
      <c r="H697" s="266"/>
      <c r="I697" s="267"/>
    </row>
    <row r="698" spans="1:9" ht="14">
      <c r="A698" s="254"/>
      <c r="B698" s="338"/>
      <c r="C698" s="376" t="s">
        <v>727</v>
      </c>
      <c r="D698" s="57" t="s">
        <v>511</v>
      </c>
      <c r="E698" s="137" t="s">
        <v>4</v>
      </c>
      <c r="F698" s="268">
        <f>SUM(F699:F702)</f>
        <v>51.582000000000001</v>
      </c>
      <c r="G698" s="265"/>
      <c r="H698" s="266"/>
      <c r="I698" s="267"/>
    </row>
    <row r="699" spans="1:9" ht="14">
      <c r="A699" s="254"/>
      <c r="B699" s="338"/>
      <c r="C699" s="386"/>
      <c r="D699" s="57" t="s">
        <v>512</v>
      </c>
      <c r="E699" s="269"/>
      <c r="F699" s="197">
        <f>6.7*7.46-14.8</f>
        <v>35.182000000000002</v>
      </c>
      <c r="G699" s="265"/>
      <c r="H699" s="266"/>
      <c r="I699" s="267"/>
    </row>
    <row r="700" spans="1:9" ht="14">
      <c r="A700" s="254"/>
      <c r="B700" s="338"/>
      <c r="C700" s="379"/>
      <c r="D700" s="57" t="s">
        <v>513</v>
      </c>
      <c r="E700" s="137"/>
      <c r="F700" s="197">
        <v>8.4</v>
      </c>
      <c r="G700" s="265"/>
      <c r="H700" s="266"/>
      <c r="I700" s="267"/>
    </row>
    <row r="701" spans="1:9" ht="14">
      <c r="A701" s="254"/>
      <c r="B701" s="338"/>
      <c r="C701" s="375"/>
      <c r="D701" s="57" t="s">
        <v>514</v>
      </c>
      <c r="E701" s="137"/>
      <c r="F701" s="197">
        <v>2.5</v>
      </c>
      <c r="G701" s="265"/>
      <c r="H701" s="266"/>
      <c r="I701" s="267"/>
    </row>
    <row r="702" spans="1:9" ht="14">
      <c r="A702" s="254"/>
      <c r="B702" s="338"/>
      <c r="C702" s="375"/>
      <c r="D702" s="57" t="s">
        <v>515</v>
      </c>
      <c r="E702" s="137"/>
      <c r="F702" s="197">
        <v>5.5</v>
      </c>
      <c r="G702" s="265"/>
      <c r="H702" s="266"/>
      <c r="I702" s="267"/>
    </row>
    <row r="703" spans="1:9">
      <c r="A703" s="254"/>
      <c r="B703" s="338"/>
      <c r="C703" s="375"/>
      <c r="D703" s="57"/>
      <c r="E703" s="137"/>
      <c r="F703" s="197"/>
      <c r="G703" s="265"/>
      <c r="H703" s="266"/>
      <c r="I703" s="267"/>
    </row>
    <row r="704" spans="1:9">
      <c r="A704" s="254"/>
      <c r="B704" s="338"/>
      <c r="C704" s="277"/>
      <c r="D704" s="137" t="s">
        <v>516</v>
      </c>
      <c r="E704" s="137" t="s">
        <v>2</v>
      </c>
      <c r="F704" s="268">
        <f>SUM(F705:F709)</f>
        <v>47.8</v>
      </c>
      <c r="G704" s="265"/>
      <c r="H704" s="266"/>
      <c r="I704" s="267"/>
    </row>
    <row r="705" spans="1:9" ht="14">
      <c r="A705" s="254"/>
      <c r="B705" s="338"/>
      <c r="C705" s="379" t="s">
        <v>728</v>
      </c>
      <c r="D705" s="57" t="s">
        <v>517</v>
      </c>
      <c r="E705" s="137"/>
      <c r="F705" s="197">
        <f>28.7-11.5</f>
        <v>17.2</v>
      </c>
      <c r="G705" s="265"/>
      <c r="H705" s="266"/>
      <c r="I705" s="267"/>
    </row>
    <row r="706" spans="1:9" ht="14">
      <c r="A706" s="254"/>
      <c r="B706" s="338"/>
      <c r="C706" s="379"/>
      <c r="D706" s="57" t="s">
        <v>518</v>
      </c>
      <c r="E706" s="137"/>
      <c r="F706" s="197">
        <v>13.2</v>
      </c>
      <c r="G706" s="265"/>
      <c r="H706" s="266"/>
      <c r="I706" s="267"/>
    </row>
    <row r="707" spans="1:9" ht="14">
      <c r="A707" s="254"/>
      <c r="B707" s="338"/>
      <c r="C707" s="379"/>
      <c r="D707" s="57" t="s">
        <v>519</v>
      </c>
      <c r="E707" s="137"/>
      <c r="F707" s="197">
        <v>6.5</v>
      </c>
      <c r="G707" s="265"/>
      <c r="H707" s="266"/>
      <c r="I707" s="267"/>
    </row>
    <row r="708" spans="1:9" ht="14">
      <c r="A708" s="254"/>
      <c r="B708" s="338"/>
      <c r="C708" s="277"/>
      <c r="D708" s="57" t="s">
        <v>520</v>
      </c>
      <c r="E708" s="137"/>
      <c r="F708" s="197">
        <v>9.15</v>
      </c>
      <c r="G708" s="265"/>
      <c r="H708" s="266"/>
      <c r="I708" s="267"/>
    </row>
    <row r="709" spans="1:9">
      <c r="A709" s="254"/>
      <c r="B709" s="338"/>
      <c r="C709" s="277"/>
      <c r="D709" s="137" t="s">
        <v>521</v>
      </c>
      <c r="E709" s="137"/>
      <c r="F709" s="197">
        <f>1.75</f>
        <v>1.75</v>
      </c>
      <c r="G709" s="265"/>
      <c r="H709" s="266"/>
      <c r="I709" s="267"/>
    </row>
    <row r="710" spans="1:9">
      <c r="A710" s="254"/>
      <c r="B710" s="338"/>
      <c r="C710" s="277"/>
      <c r="D710" s="137"/>
      <c r="E710" s="137"/>
      <c r="F710" s="197"/>
      <c r="G710" s="265"/>
      <c r="H710" s="266"/>
      <c r="I710" s="267"/>
    </row>
    <row r="711" spans="1:9">
      <c r="A711" s="254"/>
      <c r="B711" s="338"/>
      <c r="C711" s="277"/>
      <c r="D711" s="137" t="s">
        <v>522</v>
      </c>
      <c r="E711" s="137"/>
      <c r="F711" s="197"/>
      <c r="G711" s="265"/>
      <c r="H711" s="266"/>
      <c r="I711" s="267"/>
    </row>
    <row r="712" spans="1:9" ht="14">
      <c r="A712" s="254"/>
      <c r="B712" s="338"/>
      <c r="C712" s="277"/>
      <c r="D712" s="57" t="s">
        <v>523</v>
      </c>
      <c r="E712" s="137" t="s">
        <v>2</v>
      </c>
      <c r="F712" s="268">
        <f>(37.2+0.8+0.95)</f>
        <v>38.950000000000003</v>
      </c>
      <c r="G712" s="265"/>
      <c r="H712" s="266"/>
      <c r="I712" s="267"/>
    </row>
    <row r="713" spans="1:9">
      <c r="A713" s="254"/>
      <c r="B713" s="338"/>
      <c r="C713" s="277"/>
      <c r="D713" s="137"/>
      <c r="E713" s="137"/>
      <c r="F713" s="197"/>
      <c r="G713" s="265"/>
      <c r="H713" s="266"/>
      <c r="I713" s="267"/>
    </row>
    <row r="714" spans="1:9" ht="26">
      <c r="A714" s="254"/>
      <c r="B714" s="338"/>
      <c r="C714" s="277"/>
      <c r="D714" s="137" t="s">
        <v>507</v>
      </c>
      <c r="E714" s="137" t="s">
        <v>4</v>
      </c>
      <c r="F714" s="268">
        <v>2.2000000000000002</v>
      </c>
      <c r="G714" s="265"/>
      <c r="H714" s="266"/>
      <c r="I714" s="267"/>
    </row>
    <row r="715" spans="1:9">
      <c r="A715" s="254"/>
      <c r="B715" s="338"/>
      <c r="C715" s="277"/>
      <c r="D715" s="137"/>
      <c r="E715" s="137"/>
      <c r="F715" s="197"/>
      <c r="G715" s="265"/>
      <c r="H715" s="266"/>
      <c r="I715" s="267"/>
    </row>
    <row r="716" spans="1:9" ht="27">
      <c r="A716" s="254"/>
      <c r="B716" s="338"/>
      <c r="C716" s="375" t="s">
        <v>524</v>
      </c>
      <c r="D716" s="77" t="s">
        <v>790</v>
      </c>
      <c r="E716" s="137"/>
      <c r="F716" s="197"/>
      <c r="G716" s="265"/>
      <c r="H716" s="266"/>
      <c r="I716" s="267"/>
    </row>
    <row r="717" spans="1:9" ht="104">
      <c r="A717" s="229"/>
      <c r="B717" s="172" t="s">
        <v>157</v>
      </c>
      <c r="C717" s="379" t="s">
        <v>733</v>
      </c>
      <c r="D717" s="132" t="s">
        <v>525</v>
      </c>
      <c r="E717" s="230" t="s">
        <v>4</v>
      </c>
      <c r="F717" s="140">
        <f>F725</f>
        <v>63.633183999999993</v>
      </c>
      <c r="G717" s="141">
        <f>2200+170</f>
        <v>2370</v>
      </c>
      <c r="H717" s="142">
        <f>F717*G717</f>
        <v>150810.64607999998</v>
      </c>
      <c r="I717" s="30">
        <f>0.0126*F717</f>
        <v>0.80177811839999991</v>
      </c>
    </row>
    <row r="718" spans="1:9" ht="24">
      <c r="A718" s="229"/>
      <c r="B718" s="362" t="s">
        <v>157</v>
      </c>
      <c r="C718" s="379"/>
      <c r="D718" s="153" t="s">
        <v>526</v>
      </c>
      <c r="E718" s="230" t="s">
        <v>2</v>
      </c>
      <c r="F718" s="140">
        <f>F734</f>
        <v>96.864000000000004</v>
      </c>
      <c r="G718" s="141">
        <v>300</v>
      </c>
      <c r="H718" s="142">
        <f>F718*G718</f>
        <v>29059.200000000001</v>
      </c>
      <c r="I718" s="143">
        <f>0.001*F718</f>
        <v>9.6864000000000006E-2</v>
      </c>
    </row>
    <row r="719" spans="1:9" ht="39">
      <c r="A719" s="229"/>
      <c r="B719" s="172" t="s">
        <v>157</v>
      </c>
      <c r="C719" s="379"/>
      <c r="D719" s="153" t="s">
        <v>527</v>
      </c>
      <c r="E719" s="230" t="s">
        <v>2</v>
      </c>
      <c r="F719" s="140">
        <f>F718*1.15</f>
        <v>111.39359999999999</v>
      </c>
      <c r="G719" s="141">
        <v>600</v>
      </c>
      <c r="H719" s="142">
        <f>F719*G719</f>
        <v>66836.159999999989</v>
      </c>
      <c r="I719" s="232">
        <f>0.002*F719</f>
        <v>0.22278719999999999</v>
      </c>
    </row>
    <row r="720" spans="1:9">
      <c r="A720" s="229"/>
      <c r="B720" s="172"/>
      <c r="C720" s="379"/>
      <c r="D720" s="132"/>
      <c r="E720" s="230"/>
      <c r="F720" s="140"/>
      <c r="G720" s="141"/>
      <c r="H720" s="142"/>
      <c r="I720" s="143"/>
    </row>
    <row r="721" spans="1:9">
      <c r="A721" s="223"/>
      <c r="B721" s="172" t="s">
        <v>508</v>
      </c>
      <c r="C721" s="376" t="s">
        <v>734</v>
      </c>
      <c r="D721" s="137" t="s">
        <v>509</v>
      </c>
      <c r="E721" s="139" t="s">
        <v>4</v>
      </c>
      <c r="F721" s="140"/>
      <c r="G721" s="141"/>
      <c r="H721" s="142">
        <f>F721*G721</f>
        <v>0</v>
      </c>
      <c r="I721" s="143">
        <f>0.13*F721</f>
        <v>0</v>
      </c>
    </row>
    <row r="722" spans="1:9">
      <c r="A722" s="223"/>
      <c r="B722" s="171"/>
      <c r="C722" s="277"/>
      <c r="D722" s="137"/>
      <c r="E722" s="174"/>
      <c r="F722" s="133"/>
      <c r="G722" s="134"/>
      <c r="H722" s="135"/>
      <c r="I722" s="136"/>
    </row>
    <row r="723" spans="1:9" ht="56">
      <c r="A723" s="223"/>
      <c r="B723" s="172" t="s">
        <v>792</v>
      </c>
      <c r="C723" s="375" t="s">
        <v>524</v>
      </c>
      <c r="D723" s="57" t="s">
        <v>791</v>
      </c>
      <c r="E723" s="174"/>
      <c r="F723" s="133"/>
      <c r="G723" s="134"/>
      <c r="H723" s="135"/>
      <c r="I723" s="136"/>
    </row>
    <row r="724" spans="1:9">
      <c r="A724" s="233"/>
      <c r="B724" s="171"/>
      <c r="C724" s="375"/>
      <c r="D724" s="137" t="s">
        <v>528</v>
      </c>
      <c r="E724" s="174"/>
      <c r="F724" s="133"/>
      <c r="G724" s="134"/>
      <c r="H724" s="135"/>
      <c r="I724" s="136"/>
    </row>
    <row r="725" spans="1:9" ht="14">
      <c r="A725" s="233"/>
      <c r="B725" s="171"/>
      <c r="C725" s="376" t="s">
        <v>735</v>
      </c>
      <c r="D725" s="57" t="s">
        <v>529</v>
      </c>
      <c r="E725" s="174" t="s">
        <v>4</v>
      </c>
      <c r="F725" s="162">
        <f>SUM(F726:F732)</f>
        <v>63.633183999999993</v>
      </c>
      <c r="G725" s="134"/>
      <c r="H725" s="135"/>
      <c r="I725" s="136"/>
    </row>
    <row r="726" spans="1:9">
      <c r="A726" s="233"/>
      <c r="B726" s="171"/>
      <c r="C726" s="386"/>
      <c r="D726" s="137" t="s">
        <v>530</v>
      </c>
      <c r="E726" s="174"/>
      <c r="F726" s="133">
        <v>11.12</v>
      </c>
      <c r="G726" s="134"/>
      <c r="H726" s="135"/>
      <c r="I726" s="136"/>
    </row>
    <row r="727" spans="1:9">
      <c r="A727" s="233"/>
      <c r="B727" s="171"/>
      <c r="C727" s="386"/>
      <c r="D727" s="137"/>
      <c r="E727" s="174"/>
      <c r="F727" s="133"/>
      <c r="G727" s="134"/>
      <c r="H727" s="135"/>
      <c r="I727" s="136"/>
    </row>
    <row r="728" spans="1:9" ht="52">
      <c r="A728" s="223"/>
      <c r="B728" s="171"/>
      <c r="C728" s="379"/>
      <c r="D728" s="137" t="s">
        <v>531</v>
      </c>
      <c r="E728" s="174" t="s">
        <v>4</v>
      </c>
      <c r="F728" s="133">
        <f>4.2+(1.075+1.062+1.331+1.173+1.01+1.005+1.154+1.363+1.174+1+1.05+1.3+1.2+1.02+1.01+1.14)*0.192</f>
        <v>7.6688640000000001</v>
      </c>
      <c r="G728" s="134"/>
      <c r="H728" s="135"/>
      <c r="I728" s="136"/>
    </row>
    <row r="729" spans="1:9" ht="52">
      <c r="A729" s="223"/>
      <c r="B729" s="171"/>
      <c r="C729" s="379"/>
      <c r="D729" s="137" t="s">
        <v>532</v>
      </c>
      <c r="E729" s="174" t="s">
        <v>4</v>
      </c>
      <c r="F729" s="133">
        <f>5.5+(1.075+1.062+1.331+1.173+1.01+1.005+1.154+1.363+1.174+1+1.05+1.3+1.2+1.02+1.01+1.14)*0.192</f>
        <v>8.9688639999999999</v>
      </c>
      <c r="G729" s="134"/>
      <c r="H729" s="135"/>
      <c r="I729" s="136"/>
    </row>
    <row r="730" spans="1:9" ht="52">
      <c r="A730" s="223"/>
      <c r="B730" s="171"/>
      <c r="C730" s="379"/>
      <c r="D730" s="137" t="s">
        <v>533</v>
      </c>
      <c r="E730" s="174" t="s">
        <v>4</v>
      </c>
      <c r="F730" s="133">
        <f>5.5+(1.075+1.062+1.331+1.173+1.01+1.005+1.154+1.363+1.174+1+1.05+1.3+1.2+1.02+1.01+1.14)*0.192</f>
        <v>8.9688639999999999</v>
      </c>
      <c r="G730" s="134"/>
      <c r="H730" s="135"/>
      <c r="I730" s="136"/>
    </row>
    <row r="731" spans="1:9" ht="52">
      <c r="A731" s="223"/>
      <c r="B731" s="171"/>
      <c r="C731" s="379"/>
      <c r="D731" s="137" t="s">
        <v>534</v>
      </c>
      <c r="E731" s="174" t="s">
        <v>4</v>
      </c>
      <c r="F731" s="133">
        <f>5.5+(1.075+1.062+1.331+1.173+1.01+1.005+1.154+1.363+1.174+1+1.05+1.3+1.2+1.02+1.01+1.14)*0.192</f>
        <v>8.9688639999999999</v>
      </c>
      <c r="G731" s="134"/>
      <c r="H731" s="135"/>
      <c r="I731" s="136"/>
    </row>
    <row r="732" spans="1:9" ht="65">
      <c r="A732" s="223"/>
      <c r="B732" s="171"/>
      <c r="C732" s="379"/>
      <c r="D732" s="137" t="s">
        <v>535</v>
      </c>
      <c r="E732" s="174" t="s">
        <v>4</v>
      </c>
      <c r="F732" s="133">
        <f>5.5*2+(1.075+1.062+1.331+1.173+1.01+1.005+1.154+1.363+1.174+1+1.05+1.3+1.2+1.02+1.01+1.14)*0.192*2</f>
        <v>17.937728</v>
      </c>
      <c r="G732" s="134"/>
      <c r="H732" s="135"/>
      <c r="I732" s="136"/>
    </row>
    <row r="733" spans="1:9">
      <c r="A733" s="223"/>
      <c r="B733" s="171"/>
      <c r="C733" s="379"/>
      <c r="D733" s="137"/>
      <c r="E733" s="174"/>
      <c r="F733" s="133"/>
      <c r="G733" s="134"/>
      <c r="H733" s="135"/>
      <c r="I733" s="136"/>
    </row>
    <row r="734" spans="1:9">
      <c r="A734" s="223"/>
      <c r="B734" s="171"/>
      <c r="C734" s="379"/>
      <c r="D734" s="137" t="s">
        <v>536</v>
      </c>
      <c r="E734" s="174" t="s">
        <v>2</v>
      </c>
      <c r="F734" s="162">
        <f>SUM(F735:F739)</f>
        <v>96.864000000000004</v>
      </c>
      <c r="G734" s="134"/>
      <c r="H734" s="135"/>
      <c r="I734" s="136"/>
    </row>
    <row r="735" spans="1:9" ht="26">
      <c r="A735" s="223"/>
      <c r="B735" s="171"/>
      <c r="C735" s="379"/>
      <c r="D735" s="137" t="s">
        <v>537</v>
      </c>
      <c r="E735" s="174"/>
      <c r="F735" s="137">
        <f>7.54+0.192*16 + 0.94+0.192*16</f>
        <v>14.623999999999999</v>
      </c>
      <c r="G735" s="134"/>
      <c r="H735" s="135"/>
      <c r="I735" s="136"/>
    </row>
    <row r="736" spans="1:9" ht="26">
      <c r="A736" s="223"/>
      <c r="B736" s="171"/>
      <c r="C736" s="379"/>
      <c r="D736" s="137" t="s">
        <v>538</v>
      </c>
      <c r="E736" s="174"/>
      <c r="F736" s="137">
        <f>7.54+0.192*16 + 0.94+0.192*16</f>
        <v>14.623999999999999</v>
      </c>
      <c r="G736" s="134"/>
      <c r="H736" s="135"/>
      <c r="I736" s="136"/>
    </row>
    <row r="737" spans="1:9" ht="39">
      <c r="A737" s="223"/>
      <c r="B737" s="171"/>
      <c r="C737" s="379"/>
      <c r="D737" s="137" t="s">
        <v>539</v>
      </c>
      <c r="E737" s="174"/>
      <c r="F737" s="137">
        <f>7.54+0.192*16 + 0.94+0.192*16+17.6</f>
        <v>32.224000000000004</v>
      </c>
      <c r="G737" s="134"/>
      <c r="H737" s="135"/>
      <c r="I737" s="136"/>
    </row>
    <row r="738" spans="1:9" ht="26">
      <c r="A738" s="223"/>
      <c r="B738" s="171"/>
      <c r="C738" s="379"/>
      <c r="D738" s="137" t="s">
        <v>540</v>
      </c>
      <c r="E738" s="174"/>
      <c r="F738" s="137">
        <f>7.54+0.192*16 + 0.94+0.192*16</f>
        <v>14.623999999999999</v>
      </c>
      <c r="G738" s="134"/>
      <c r="H738" s="135"/>
      <c r="I738" s="136"/>
    </row>
    <row r="739" spans="1:9" ht="26">
      <c r="A739" s="223"/>
      <c r="B739" s="171"/>
      <c r="C739" s="379"/>
      <c r="D739" s="137" t="s">
        <v>541</v>
      </c>
      <c r="E739" s="174"/>
      <c r="F739" s="137">
        <f>7.54+0.192*16*2 + 0.94+0.192*16*2</f>
        <v>20.768000000000001</v>
      </c>
      <c r="G739" s="134"/>
      <c r="H739" s="135"/>
      <c r="I739" s="136"/>
    </row>
    <row r="740" spans="1:9">
      <c r="A740" s="223"/>
      <c r="B740" s="171"/>
      <c r="C740" s="379"/>
      <c r="D740" s="164" t="s">
        <v>542</v>
      </c>
      <c r="E740" s="174"/>
      <c r="F740" s="133"/>
      <c r="G740" s="134"/>
      <c r="H740" s="135"/>
      <c r="I740" s="136"/>
    </row>
    <row r="741" spans="1:9">
      <c r="A741" s="223"/>
      <c r="B741" s="171"/>
      <c r="C741" s="277"/>
      <c r="D741" s="174"/>
      <c r="E741" s="174"/>
      <c r="F741" s="133"/>
      <c r="G741" s="134"/>
      <c r="H741" s="135"/>
      <c r="I741" s="136"/>
    </row>
    <row r="742" spans="1:9" ht="27">
      <c r="A742" s="223"/>
      <c r="B742" s="171"/>
      <c r="C742" s="375" t="s">
        <v>543</v>
      </c>
      <c r="D742" s="144" t="s">
        <v>544</v>
      </c>
      <c r="E742" s="174"/>
      <c r="F742" s="133"/>
      <c r="G742" s="134"/>
      <c r="H742" s="135"/>
      <c r="I742" s="136"/>
    </row>
    <row r="743" spans="1:9" ht="104">
      <c r="A743" s="254"/>
      <c r="B743" s="172" t="s">
        <v>157</v>
      </c>
      <c r="C743" s="376" t="s">
        <v>736</v>
      </c>
      <c r="D743" s="132" t="s">
        <v>545</v>
      </c>
      <c r="E743" s="270" t="s">
        <v>4</v>
      </c>
      <c r="F743" s="271">
        <f>15+(6.7*0.16)</f>
        <v>16.071999999999999</v>
      </c>
      <c r="G743" s="272">
        <f>2200+170</f>
        <v>2370</v>
      </c>
      <c r="H743" s="273">
        <f>F743*G743</f>
        <v>38090.639999999999</v>
      </c>
      <c r="I743" s="30">
        <f>0.0126*F743</f>
        <v>0.2025072</v>
      </c>
    </row>
    <row r="744" spans="1:9" ht="24">
      <c r="A744" s="254"/>
      <c r="B744" s="172" t="s">
        <v>157</v>
      </c>
      <c r="C744" s="376" t="s">
        <v>737</v>
      </c>
      <c r="D744" s="153" t="s">
        <v>546</v>
      </c>
      <c r="E744" s="230" t="s">
        <v>2</v>
      </c>
      <c r="F744" s="140">
        <f>11.5+0.16*2</f>
        <v>11.82</v>
      </c>
      <c r="G744" s="141">
        <v>300</v>
      </c>
      <c r="H744" s="142">
        <f>F744*G744</f>
        <v>3546</v>
      </c>
      <c r="I744" s="143">
        <f>0.001*F744</f>
        <v>1.1820000000000001E-2</v>
      </c>
    </row>
    <row r="745" spans="1:9" ht="39">
      <c r="A745" s="254"/>
      <c r="B745" s="172" t="s">
        <v>157</v>
      </c>
      <c r="C745" s="379" t="s">
        <v>738</v>
      </c>
      <c r="D745" s="231" t="s">
        <v>547</v>
      </c>
      <c r="E745" s="230" t="s">
        <v>2</v>
      </c>
      <c r="F745" s="140">
        <f>19.85*1.15</f>
        <v>22.827500000000001</v>
      </c>
      <c r="G745" s="141">
        <v>600</v>
      </c>
      <c r="H745" s="142">
        <f>F745*G745</f>
        <v>13696.5</v>
      </c>
      <c r="I745" s="232">
        <f>0.002*F745</f>
        <v>4.5655000000000001E-2</v>
      </c>
    </row>
    <row r="746" spans="1:9">
      <c r="A746" s="233"/>
      <c r="B746" s="172" t="s">
        <v>432</v>
      </c>
      <c r="C746" s="376" t="s">
        <v>739</v>
      </c>
      <c r="D746" s="176" t="s">
        <v>434</v>
      </c>
      <c r="E746" s="139" t="s">
        <v>4</v>
      </c>
      <c r="F746" s="140">
        <v>15</v>
      </c>
      <c r="G746" s="141">
        <v>504</v>
      </c>
      <c r="H746" s="142">
        <f t="shared" ref="H746:H756" si="8">F746*G746</f>
        <v>7560</v>
      </c>
      <c r="I746" s="143">
        <f>0.13*F746</f>
        <v>1.9500000000000002</v>
      </c>
    </row>
    <row r="747" spans="1:9" ht="26">
      <c r="A747" s="233"/>
      <c r="B747" s="363">
        <v>711199101</v>
      </c>
      <c r="C747" s="379" t="s">
        <v>740</v>
      </c>
      <c r="D747" s="252" t="s">
        <v>548</v>
      </c>
      <c r="E747" s="253" t="s">
        <v>2</v>
      </c>
      <c r="F747" s="190">
        <f>F745</f>
        <v>22.827500000000001</v>
      </c>
      <c r="G747" s="191">
        <v>66.2</v>
      </c>
      <c r="H747" s="192">
        <f>F747*G747</f>
        <v>1511.1805000000002</v>
      </c>
      <c r="I747" s="188">
        <f>0*F747</f>
        <v>0</v>
      </c>
    </row>
    <row r="748" spans="1:9" ht="26">
      <c r="A748" s="233"/>
      <c r="B748" s="172" t="s">
        <v>436</v>
      </c>
      <c r="C748" s="376" t="s">
        <v>741</v>
      </c>
      <c r="D748" s="252" t="s">
        <v>549</v>
      </c>
      <c r="E748" s="189" t="s">
        <v>2</v>
      </c>
      <c r="F748" s="190">
        <f>F747*1.1</f>
        <v>25.110250000000004</v>
      </c>
      <c r="G748" s="191">
        <v>42.2</v>
      </c>
      <c r="H748" s="192">
        <f>F748*G748</f>
        <v>1059.6525500000002</v>
      </c>
      <c r="I748" s="188">
        <f>0.00011*F748</f>
        <v>2.7621275000000007E-3</v>
      </c>
    </row>
    <row r="749" spans="1:9" ht="52">
      <c r="A749" s="233"/>
      <c r="B749" s="171" t="s">
        <v>438</v>
      </c>
      <c r="C749" s="376" t="s">
        <v>742</v>
      </c>
      <c r="D749" s="255" t="s">
        <v>550</v>
      </c>
      <c r="E749" s="256" t="s">
        <v>4</v>
      </c>
      <c r="F749" s="257">
        <f>15*1.15</f>
        <v>17.25</v>
      </c>
      <c r="G749" s="258">
        <v>83.6</v>
      </c>
      <c r="H749" s="259">
        <f t="shared" si="8"/>
        <v>1442.1</v>
      </c>
      <c r="I749" s="274">
        <f>0.0005*F749</f>
        <v>8.6250000000000007E-3</v>
      </c>
    </row>
    <row r="750" spans="1:9">
      <c r="A750" s="233"/>
      <c r="B750" s="250" t="s">
        <v>440</v>
      </c>
      <c r="C750" s="376" t="s">
        <v>743</v>
      </c>
      <c r="D750" s="146" t="s">
        <v>551</v>
      </c>
      <c r="E750" s="256" t="s">
        <v>4</v>
      </c>
      <c r="F750" s="257">
        <f>F749</f>
        <v>17.25</v>
      </c>
      <c r="G750" s="258">
        <v>39.200000000000003</v>
      </c>
      <c r="H750" s="259">
        <f t="shared" si="8"/>
        <v>676.2</v>
      </c>
      <c r="I750" s="274">
        <f>0.000013*F750</f>
        <v>2.2424999999999998E-4</v>
      </c>
    </row>
    <row r="751" spans="1:9" ht="49">
      <c r="A751" s="233"/>
      <c r="B751" s="171" t="s">
        <v>180</v>
      </c>
      <c r="C751" s="376" t="s">
        <v>744</v>
      </c>
      <c r="D751" s="275" t="s">
        <v>552</v>
      </c>
      <c r="E751" s="45" t="s">
        <v>4</v>
      </c>
      <c r="F751" s="133">
        <f>(15-2)*1.15</f>
        <v>14.95</v>
      </c>
      <c r="G751" s="134">
        <v>281</v>
      </c>
      <c r="H751" s="135">
        <f t="shared" si="8"/>
        <v>4200.95</v>
      </c>
      <c r="I751" s="274">
        <f>0.00512*F751</f>
        <v>7.6544000000000001E-2</v>
      </c>
    </row>
    <row r="752" spans="1:9" ht="26">
      <c r="A752" s="223"/>
      <c r="B752" s="171" t="s">
        <v>443</v>
      </c>
      <c r="C752" s="376" t="s">
        <v>745</v>
      </c>
      <c r="D752" s="276" t="s">
        <v>553</v>
      </c>
      <c r="E752" s="45" t="s">
        <v>4</v>
      </c>
      <c r="F752" s="133">
        <f>F751</f>
        <v>14.95</v>
      </c>
      <c r="G752" s="134">
        <v>43.7</v>
      </c>
      <c r="H752" s="135">
        <f t="shared" si="8"/>
        <v>653.31500000000005</v>
      </c>
      <c r="I752" s="274">
        <f>0.0012*F752</f>
        <v>1.7939999999999998E-2</v>
      </c>
    </row>
    <row r="753" spans="1:9" ht="49">
      <c r="A753" s="223"/>
      <c r="B753" s="171" t="s">
        <v>180</v>
      </c>
      <c r="C753" s="376" t="s">
        <v>746</v>
      </c>
      <c r="D753" s="275" t="s">
        <v>554</v>
      </c>
      <c r="E753" s="45" t="s">
        <v>4</v>
      </c>
      <c r="F753" s="133">
        <f>2*1.15</f>
        <v>2.2999999999999998</v>
      </c>
      <c r="G753" s="134">
        <f>430*1.155</f>
        <v>496.65000000000003</v>
      </c>
      <c r="H753" s="135">
        <f t="shared" si="8"/>
        <v>1142.2950000000001</v>
      </c>
      <c r="I753" s="274">
        <f>0.00512*F753</f>
        <v>1.1776E-2</v>
      </c>
    </row>
    <row r="754" spans="1:9" ht="26">
      <c r="A754" s="223"/>
      <c r="B754" s="171" t="s">
        <v>443</v>
      </c>
      <c r="C754" s="376" t="s">
        <v>747</v>
      </c>
      <c r="D754" s="276" t="s">
        <v>553</v>
      </c>
      <c r="E754" s="45" t="s">
        <v>4</v>
      </c>
      <c r="F754" s="133">
        <f>2*1.15</f>
        <v>2.2999999999999998</v>
      </c>
      <c r="G754" s="134">
        <v>43.7</v>
      </c>
      <c r="H754" s="135">
        <f t="shared" si="8"/>
        <v>100.51</v>
      </c>
      <c r="I754" s="274">
        <f>0.0012*F754</f>
        <v>2.7599999999999994E-3</v>
      </c>
    </row>
    <row r="755" spans="1:9" ht="26">
      <c r="A755" s="254"/>
      <c r="B755" s="250" t="s">
        <v>504</v>
      </c>
      <c r="C755" s="376" t="s">
        <v>748</v>
      </c>
      <c r="D755" s="137" t="s">
        <v>555</v>
      </c>
      <c r="E755" s="137" t="s">
        <v>4</v>
      </c>
      <c r="F755" s="197">
        <f>15*1.15</f>
        <v>17.25</v>
      </c>
      <c r="G755" s="134">
        <v>69.900000000000006</v>
      </c>
      <c r="H755" s="237">
        <f t="shared" si="8"/>
        <v>1205.7750000000001</v>
      </c>
      <c r="I755" s="27">
        <f>0.00039*F755</f>
        <v>6.7275E-3</v>
      </c>
    </row>
    <row r="756" spans="1:9" ht="26">
      <c r="A756" s="254"/>
      <c r="B756" s="365" t="s">
        <v>506</v>
      </c>
      <c r="C756" s="376" t="s">
        <v>749</v>
      </c>
      <c r="D756" s="137" t="s">
        <v>556</v>
      </c>
      <c r="E756" s="137" t="s">
        <v>4</v>
      </c>
      <c r="F756" s="197">
        <v>15</v>
      </c>
      <c r="G756" s="134">
        <v>25.2</v>
      </c>
      <c r="H756" s="237">
        <f t="shared" si="8"/>
        <v>378</v>
      </c>
      <c r="I756" s="27">
        <f>0*F756</f>
        <v>0</v>
      </c>
    </row>
    <row r="757" spans="1:9">
      <c r="A757" s="254"/>
      <c r="B757" s="365"/>
      <c r="C757" s="376"/>
      <c r="D757" s="137"/>
      <c r="E757" s="137"/>
      <c r="F757" s="197"/>
      <c r="G757" s="134"/>
      <c r="H757" s="237"/>
      <c r="I757" s="27"/>
    </row>
    <row r="758" spans="1:9">
      <c r="A758" s="254"/>
      <c r="B758" s="338" t="s">
        <v>508</v>
      </c>
      <c r="C758" s="277"/>
      <c r="D758" s="137" t="s">
        <v>509</v>
      </c>
      <c r="E758" s="137"/>
      <c r="F758" s="197"/>
      <c r="G758" s="265"/>
      <c r="H758" s="266"/>
      <c r="I758" s="267"/>
    </row>
    <row r="759" spans="1:9">
      <c r="A759" s="223"/>
      <c r="B759" s="171"/>
      <c r="C759" s="277"/>
      <c r="D759" s="174"/>
      <c r="E759" s="174"/>
      <c r="F759" s="133"/>
      <c r="G759" s="134"/>
      <c r="H759" s="135"/>
      <c r="I759" s="136"/>
    </row>
    <row r="760" spans="1:9" ht="24">
      <c r="A760" s="223"/>
      <c r="B760" s="292"/>
      <c r="C760" s="277" t="s">
        <v>557</v>
      </c>
      <c r="D760" s="278" t="s">
        <v>794</v>
      </c>
      <c r="E760" s="390" t="s">
        <v>48</v>
      </c>
      <c r="F760" s="393" t="s">
        <v>60</v>
      </c>
      <c r="G760" s="391"/>
      <c r="H760" s="392">
        <f>SUM(H762:H853)</f>
        <v>677456.79161825019</v>
      </c>
      <c r="I760" s="136"/>
    </row>
    <row r="761" spans="1:9" ht="91">
      <c r="A761" s="223"/>
      <c r="B761" s="292"/>
      <c r="C761" s="277"/>
      <c r="D761" s="280" t="s">
        <v>795</v>
      </c>
      <c r="E761" s="45"/>
      <c r="F761" s="279"/>
      <c r="G761" s="134"/>
      <c r="H761" s="135"/>
      <c r="I761" s="136"/>
    </row>
    <row r="762" spans="1:9">
      <c r="A762" s="223"/>
      <c r="B762" s="292"/>
      <c r="C762" s="277"/>
      <c r="E762" s="45"/>
      <c r="F762" s="279"/>
      <c r="G762" s="134"/>
      <c r="H762" s="135"/>
    </row>
    <row r="763" spans="1:9">
      <c r="A763" s="223"/>
      <c r="B763" s="292"/>
      <c r="C763" s="277"/>
      <c r="D763" s="281" t="s">
        <v>559</v>
      </c>
      <c r="E763" s="45"/>
      <c r="F763" s="279"/>
      <c r="G763" s="134"/>
      <c r="H763" s="135"/>
    </row>
    <row r="764" spans="1:9" ht="52">
      <c r="A764" s="282"/>
      <c r="B764" s="250" t="s">
        <v>87</v>
      </c>
      <c r="C764" s="39" t="s">
        <v>750</v>
      </c>
      <c r="D764" s="280" t="s">
        <v>560</v>
      </c>
      <c r="E764" s="234" t="s">
        <v>4</v>
      </c>
      <c r="F764" s="160">
        <f>10.46+10.56</f>
        <v>21.020000000000003</v>
      </c>
      <c r="G764" s="236">
        <f>1386*1.155+400</f>
        <v>2000.83</v>
      </c>
      <c r="H764" s="237">
        <f>F764*G764</f>
        <v>42057.446600000003</v>
      </c>
    </row>
    <row r="765" spans="1:9" ht="15">
      <c r="A765" s="282"/>
      <c r="B765" s="284"/>
      <c r="C765" s="39"/>
      <c r="D765" s="280"/>
      <c r="E765" s="234"/>
      <c r="F765" s="160"/>
      <c r="G765" s="236"/>
      <c r="H765" s="237"/>
    </row>
    <row r="766" spans="1:9" ht="26">
      <c r="A766" s="282"/>
      <c r="B766" s="250" t="s">
        <v>87</v>
      </c>
      <c r="C766" s="39" t="s">
        <v>751</v>
      </c>
      <c r="D766" s="280" t="s">
        <v>561</v>
      </c>
      <c r="E766" s="234" t="s">
        <v>4</v>
      </c>
      <c r="F766" s="160">
        <f>10.46+10.56</f>
        <v>21.020000000000003</v>
      </c>
      <c r="G766" s="236">
        <f>325*1.155+100</f>
        <v>475.375</v>
      </c>
      <c r="H766" s="237">
        <f t="shared" ref="H766:H822" si="9">F766*G766</f>
        <v>9992.3825000000015</v>
      </c>
    </row>
    <row r="767" spans="1:9" ht="39">
      <c r="A767" s="282"/>
      <c r="B767" s="250" t="s">
        <v>87</v>
      </c>
      <c r="C767" s="39" t="s">
        <v>752</v>
      </c>
      <c r="D767" s="280" t="s">
        <v>562</v>
      </c>
      <c r="E767" s="234" t="s">
        <v>4</v>
      </c>
      <c r="F767" s="160">
        <f>10.46+10.56</f>
        <v>21.020000000000003</v>
      </c>
      <c r="G767" s="236">
        <f>433*1.155+200</f>
        <v>700.11500000000001</v>
      </c>
      <c r="H767" s="237">
        <f t="shared" si="9"/>
        <v>14716.417300000003</v>
      </c>
    </row>
    <row r="768" spans="1:9" ht="26">
      <c r="A768" s="282"/>
      <c r="B768" s="250" t="s">
        <v>87</v>
      </c>
      <c r="C768" s="39"/>
      <c r="D768" s="280" t="s">
        <v>824</v>
      </c>
      <c r="E768" s="234" t="s">
        <v>4</v>
      </c>
      <c r="F768" s="160">
        <f>10.46+10.56</f>
        <v>21.020000000000003</v>
      </c>
      <c r="G768" s="236">
        <f>332*1.155+200</f>
        <v>583.46</v>
      </c>
      <c r="H768" s="237">
        <f t="shared" si="9"/>
        <v>12264.329200000002</v>
      </c>
    </row>
    <row r="769" spans="1:8" ht="26">
      <c r="A769" s="283"/>
      <c r="B769" s="284" t="s">
        <v>563</v>
      </c>
      <c r="C769" s="39" t="s">
        <v>753</v>
      </c>
      <c r="D769" s="285" t="s">
        <v>564</v>
      </c>
      <c r="E769" s="234" t="s">
        <v>4</v>
      </c>
      <c r="F769" s="286">
        <f>(10.7+11+(8.85+7)*0.15+ (8.85+7)*0.65 + 8.4*0.65)*1.15</f>
        <v>45.816000000000003</v>
      </c>
      <c r="G769" s="236">
        <f>437*1.155</f>
        <v>504.73500000000001</v>
      </c>
      <c r="H769" s="237">
        <f t="shared" si="9"/>
        <v>23124.938760000001</v>
      </c>
    </row>
    <row r="770" spans="1:8" ht="40">
      <c r="A770" s="283"/>
      <c r="B770" s="284"/>
      <c r="C770" s="39"/>
      <c r="D770" s="280" t="s">
        <v>565</v>
      </c>
      <c r="E770" s="234"/>
      <c r="F770" s="287"/>
      <c r="G770" s="236"/>
      <c r="H770" s="237"/>
    </row>
    <row r="771" spans="1:8" ht="24">
      <c r="A771" s="282"/>
      <c r="B771" s="284" t="s">
        <v>566</v>
      </c>
      <c r="C771" s="39"/>
      <c r="D771" s="285" t="s">
        <v>567</v>
      </c>
      <c r="E771" s="234" t="s">
        <v>4</v>
      </c>
      <c r="F771" s="287">
        <f>10.7+11+(8.85+7)*0.15+ (8.85+7)*0.65 + 8.4*0.65</f>
        <v>39.840000000000003</v>
      </c>
      <c r="G771" s="236">
        <v>120</v>
      </c>
      <c r="H771" s="237">
        <f t="shared" si="9"/>
        <v>4780.8</v>
      </c>
    </row>
    <row r="772" spans="1:8" ht="24">
      <c r="A772" s="288"/>
      <c r="B772" s="284" t="s">
        <v>568</v>
      </c>
      <c r="C772" s="387" t="s">
        <v>754</v>
      </c>
      <c r="D772" s="289" t="s">
        <v>569</v>
      </c>
      <c r="E772" s="256" t="s">
        <v>4</v>
      </c>
      <c r="F772" s="286">
        <f>F769</f>
        <v>45.816000000000003</v>
      </c>
      <c r="G772" s="258">
        <f>226*1.155</f>
        <v>261.03000000000003</v>
      </c>
      <c r="H772" s="237">
        <f t="shared" si="9"/>
        <v>11959.350480000003</v>
      </c>
    </row>
    <row r="773" spans="1:8" ht="24">
      <c r="A773" s="288"/>
      <c r="B773" s="284" t="s">
        <v>319</v>
      </c>
      <c r="C773" s="387"/>
      <c r="D773" s="289" t="s">
        <v>570</v>
      </c>
      <c r="E773" s="256" t="s">
        <v>4</v>
      </c>
      <c r="F773" s="287">
        <f>F771</f>
        <v>39.840000000000003</v>
      </c>
      <c r="G773" s="258">
        <v>75</v>
      </c>
      <c r="H773" s="237">
        <f t="shared" si="9"/>
        <v>2988.0000000000005</v>
      </c>
    </row>
    <row r="774" spans="1:8" ht="39">
      <c r="A774" s="282"/>
      <c r="B774" s="284" t="s">
        <v>568</v>
      </c>
      <c r="C774" s="39" t="s">
        <v>755</v>
      </c>
      <c r="D774" s="280" t="s">
        <v>571</v>
      </c>
      <c r="E774" s="234" t="s">
        <v>4</v>
      </c>
      <c r="F774" s="290">
        <f>(10.46+10.56)*1.15</f>
        <v>24.173000000000002</v>
      </c>
      <c r="G774" s="236">
        <f>(381+378)*1.155</f>
        <v>876.64499999999998</v>
      </c>
      <c r="H774" s="237">
        <f t="shared" si="9"/>
        <v>21191.139585000001</v>
      </c>
    </row>
    <row r="775" spans="1:8" ht="24">
      <c r="A775" s="282"/>
      <c r="B775" s="284" t="s">
        <v>319</v>
      </c>
      <c r="C775" s="39"/>
      <c r="D775" s="285" t="s">
        <v>572</v>
      </c>
      <c r="E775" s="234" t="s">
        <v>4</v>
      </c>
      <c r="F775" s="290">
        <f>10.46+10.56</f>
        <v>21.020000000000003</v>
      </c>
      <c r="G775" s="236">
        <v>160</v>
      </c>
      <c r="H775" s="237">
        <f t="shared" si="9"/>
        <v>3363.2000000000007</v>
      </c>
    </row>
    <row r="776" spans="1:8" ht="39">
      <c r="A776" s="282"/>
      <c r="B776" s="284" t="s">
        <v>573</v>
      </c>
      <c r="C776" s="39" t="s">
        <v>756</v>
      </c>
      <c r="D776" s="280" t="s">
        <v>574</v>
      </c>
      <c r="E776" s="234" t="s">
        <v>4</v>
      </c>
      <c r="F776" s="286">
        <f>(10.7+11+(8.85+7)*0.15+ (8.85+7)*0.85 + 8.4*0.75)*1.15</f>
        <v>50.427499999999988</v>
      </c>
      <c r="G776" s="236">
        <f>141*1.155</f>
        <v>162.85499999999999</v>
      </c>
      <c r="H776" s="237">
        <f t="shared" si="9"/>
        <v>8212.3705124999979</v>
      </c>
    </row>
    <row r="777" spans="1:8" ht="26">
      <c r="A777" s="282"/>
      <c r="B777" s="284"/>
      <c r="C777" s="39"/>
      <c r="D777" s="280" t="s">
        <v>575</v>
      </c>
      <c r="E777" s="234"/>
      <c r="F777" s="291"/>
      <c r="G777" s="236"/>
      <c r="H777" s="237"/>
    </row>
    <row r="778" spans="1:8">
      <c r="A778" s="282"/>
      <c r="B778" s="292" t="s">
        <v>451</v>
      </c>
      <c r="C778" s="39"/>
      <c r="D778" s="285" t="s">
        <v>576</v>
      </c>
      <c r="E778" s="234" t="s">
        <v>4</v>
      </c>
      <c r="F778" s="286">
        <f>10.7+11+(8.85+7)*0.15</f>
        <v>24.077500000000001</v>
      </c>
      <c r="G778" s="236">
        <v>113</v>
      </c>
      <c r="H778" s="237">
        <f t="shared" si="9"/>
        <v>2720.7575000000002</v>
      </c>
    </row>
    <row r="779" spans="1:8">
      <c r="A779" s="282"/>
      <c r="B779" s="292" t="s">
        <v>453</v>
      </c>
      <c r="C779" s="39"/>
      <c r="D779" s="285" t="s">
        <v>577</v>
      </c>
      <c r="E779" s="234" t="s">
        <v>4</v>
      </c>
      <c r="F779" s="286">
        <f>(8.85+7)*0.85 + 8.4*0.75</f>
        <v>19.772500000000001</v>
      </c>
      <c r="G779" s="236">
        <v>130</v>
      </c>
      <c r="H779" s="237">
        <f t="shared" si="9"/>
        <v>2570.4250000000002</v>
      </c>
    </row>
    <row r="780" spans="1:8" ht="26">
      <c r="A780" s="282"/>
      <c r="B780" s="284" t="s">
        <v>578</v>
      </c>
      <c r="C780" s="39" t="s">
        <v>757</v>
      </c>
      <c r="D780" s="280" t="s">
        <v>579</v>
      </c>
      <c r="E780" s="234" t="s">
        <v>4</v>
      </c>
      <c r="F780" s="287">
        <f>10.7+11+(8.85+7)*0.15+ (8.85+7)*0.85 + 8.4*0.75</f>
        <v>43.849999999999994</v>
      </c>
      <c r="G780" s="236">
        <v>146</v>
      </c>
      <c r="H780" s="237">
        <f t="shared" si="9"/>
        <v>6402.0999999999995</v>
      </c>
    </row>
    <row r="781" spans="1:8">
      <c r="A781" s="282"/>
      <c r="B781" s="284"/>
      <c r="C781" s="39"/>
      <c r="D781" s="280"/>
      <c r="E781" s="234"/>
      <c r="F781" s="287"/>
      <c r="G781" s="236"/>
      <c r="H781" s="237"/>
    </row>
    <row r="782" spans="1:8">
      <c r="A782" s="282"/>
      <c r="B782" s="366" t="s">
        <v>508</v>
      </c>
      <c r="C782" s="388"/>
      <c r="D782" s="280" t="s">
        <v>580</v>
      </c>
      <c r="E782" s="234"/>
      <c r="F782" s="279"/>
      <c r="G782" s="236"/>
      <c r="H782" s="237"/>
    </row>
    <row r="783" spans="1:8" ht="24">
      <c r="A783" s="282"/>
      <c r="B783" s="250" t="s">
        <v>87</v>
      </c>
      <c r="C783" s="39" t="s">
        <v>758</v>
      </c>
      <c r="D783" s="280" t="s">
        <v>581</v>
      </c>
      <c r="E783" s="234" t="s">
        <v>4</v>
      </c>
      <c r="F783" s="279">
        <f>(59.6+5.68+6.2)</f>
        <v>71.48</v>
      </c>
      <c r="G783" s="272">
        <v>374</v>
      </c>
      <c r="H783" s="237">
        <f t="shared" si="9"/>
        <v>26733.52</v>
      </c>
    </row>
    <row r="784" spans="1:8">
      <c r="A784" s="282"/>
      <c r="B784" s="284"/>
      <c r="C784" s="39"/>
      <c r="D784" s="280" t="s">
        <v>582</v>
      </c>
      <c r="E784" s="234"/>
      <c r="F784" s="279"/>
      <c r="G784" s="236"/>
      <c r="H784" s="237"/>
    </row>
    <row r="785" spans="1:8">
      <c r="A785" s="223"/>
      <c r="B785" s="292"/>
      <c r="C785" s="379"/>
      <c r="D785" s="293"/>
      <c r="E785" s="45"/>
      <c r="F785" s="279"/>
      <c r="G785" s="134"/>
      <c r="H785" s="237"/>
    </row>
    <row r="786" spans="1:8">
      <c r="A786" s="223"/>
      <c r="B786" s="292"/>
      <c r="C786" s="379"/>
      <c r="D786" s="293"/>
      <c r="E786" s="45"/>
      <c r="F786" s="279"/>
      <c r="G786" s="134"/>
      <c r="H786" s="237"/>
    </row>
    <row r="787" spans="1:8" ht="39">
      <c r="A787" s="223"/>
      <c r="B787" s="250" t="s">
        <v>87</v>
      </c>
      <c r="C787" s="220" t="s">
        <v>759</v>
      </c>
      <c r="D787" s="294" t="s">
        <v>583</v>
      </c>
      <c r="E787" s="295" t="s">
        <v>7</v>
      </c>
      <c r="F787" s="280">
        <v>2</v>
      </c>
      <c r="G787" s="236">
        <f>1800*1.155+2500</f>
        <v>4579</v>
      </c>
      <c r="H787" s="237">
        <f t="shared" si="9"/>
        <v>9158</v>
      </c>
    </row>
    <row r="788" spans="1:8" ht="39">
      <c r="A788" s="223"/>
      <c r="B788" s="250" t="s">
        <v>87</v>
      </c>
      <c r="C788" s="220" t="s">
        <v>760</v>
      </c>
      <c r="D788" s="294" t="s">
        <v>584</v>
      </c>
      <c r="E788" s="295" t="s">
        <v>7</v>
      </c>
      <c r="F788" s="280">
        <v>2</v>
      </c>
      <c r="G788" s="236">
        <f>4500*1.155+2500</f>
        <v>7697.5</v>
      </c>
      <c r="H788" s="237">
        <f t="shared" si="9"/>
        <v>15395</v>
      </c>
    </row>
    <row r="789" spans="1:8" ht="26">
      <c r="A789" s="223"/>
      <c r="B789" s="250" t="s">
        <v>87</v>
      </c>
      <c r="C789" s="220" t="s">
        <v>761</v>
      </c>
      <c r="D789" s="294" t="s">
        <v>585</v>
      </c>
      <c r="E789" s="295" t="s">
        <v>7</v>
      </c>
      <c r="F789" s="280">
        <v>2</v>
      </c>
      <c r="G789" s="236">
        <f>2280*1.155+2500</f>
        <v>5133.3999999999996</v>
      </c>
      <c r="H789" s="237">
        <f t="shared" si="9"/>
        <v>10266.799999999999</v>
      </c>
    </row>
    <row r="790" spans="1:8" ht="52">
      <c r="A790" s="223"/>
      <c r="B790" s="250" t="s">
        <v>87</v>
      </c>
      <c r="C790" s="220" t="s">
        <v>762</v>
      </c>
      <c r="D790" s="294" t="s">
        <v>586</v>
      </c>
      <c r="E790" s="295" t="s">
        <v>7</v>
      </c>
      <c r="F790" s="280">
        <v>2</v>
      </c>
      <c r="G790" s="236">
        <v>4600</v>
      </c>
      <c r="H790" s="237">
        <f t="shared" si="9"/>
        <v>9200</v>
      </c>
    </row>
    <row r="791" spans="1:8" ht="26">
      <c r="A791" s="223"/>
      <c r="B791" s="250" t="s">
        <v>87</v>
      </c>
      <c r="C791" s="220" t="s">
        <v>763</v>
      </c>
      <c r="D791" s="294" t="s">
        <v>825</v>
      </c>
      <c r="E791" s="295" t="s">
        <v>2</v>
      </c>
      <c r="F791" s="280">
        <f>8+11.35</f>
        <v>19.350000000000001</v>
      </c>
      <c r="G791" s="236">
        <f>777.5*1.155+150</f>
        <v>1048.0125</v>
      </c>
      <c r="H791" s="237">
        <f t="shared" si="9"/>
        <v>20279.041875000003</v>
      </c>
    </row>
    <row r="792" spans="1:8" ht="39">
      <c r="A792" s="223"/>
      <c r="B792" s="250" t="s">
        <v>87</v>
      </c>
      <c r="C792" s="220" t="s">
        <v>764</v>
      </c>
      <c r="D792" s="294" t="s">
        <v>587</v>
      </c>
      <c r="E792" s="295" t="s">
        <v>4</v>
      </c>
      <c r="F792" s="280">
        <f>28.9*0.4</f>
        <v>11.56</v>
      </c>
      <c r="G792" s="236">
        <f>2500</f>
        <v>2500</v>
      </c>
      <c r="H792" s="237">
        <f>F792*G792</f>
        <v>28900</v>
      </c>
    </row>
    <row r="793" spans="1:8" ht="26">
      <c r="A793" s="223"/>
      <c r="B793" s="250" t="s">
        <v>87</v>
      </c>
      <c r="C793" s="220" t="s">
        <v>765</v>
      </c>
      <c r="D793" s="294" t="s">
        <v>588</v>
      </c>
      <c r="E793" s="295" t="s">
        <v>2</v>
      </c>
      <c r="F793" s="280">
        <f>(27.3+4.3)*2</f>
        <v>63.2</v>
      </c>
      <c r="G793" s="236">
        <f>350*1.155+110</f>
        <v>514.25</v>
      </c>
      <c r="H793" s="237">
        <f t="shared" si="9"/>
        <v>32500.600000000002</v>
      </c>
    </row>
    <row r="794" spans="1:8" ht="26">
      <c r="A794" s="223"/>
      <c r="B794" s="250" t="s">
        <v>87</v>
      </c>
      <c r="C794" s="379"/>
      <c r="D794" s="294" t="s">
        <v>589</v>
      </c>
      <c r="E794" s="295" t="s">
        <v>2</v>
      </c>
      <c r="F794" s="280">
        <v>5</v>
      </c>
      <c r="G794" s="236">
        <v>2500</v>
      </c>
      <c r="H794" s="237">
        <f t="shared" si="9"/>
        <v>12500</v>
      </c>
    </row>
    <row r="795" spans="1:8" ht="39">
      <c r="A795" s="223"/>
      <c r="B795" s="296" t="s">
        <v>705</v>
      </c>
      <c r="C795" s="379"/>
      <c r="D795" s="294" t="s">
        <v>590</v>
      </c>
      <c r="E795" s="295" t="s">
        <v>7</v>
      </c>
      <c r="F795" s="280">
        <v>34</v>
      </c>
      <c r="G795" s="272">
        <v>1</v>
      </c>
      <c r="H795" s="237">
        <f t="shared" si="9"/>
        <v>34</v>
      </c>
    </row>
    <row r="796" spans="1:8" ht="39">
      <c r="A796" s="223"/>
      <c r="B796" s="296" t="s">
        <v>705</v>
      </c>
      <c r="C796" s="379"/>
      <c r="D796" s="294" t="s">
        <v>591</v>
      </c>
      <c r="E796" s="295" t="s">
        <v>7</v>
      </c>
      <c r="F796" s="280">
        <v>15</v>
      </c>
      <c r="G796" s="272">
        <v>1</v>
      </c>
      <c r="H796" s="237">
        <f t="shared" si="9"/>
        <v>15</v>
      </c>
    </row>
    <row r="797" spans="1:8" ht="39">
      <c r="A797" s="223"/>
      <c r="B797" s="296" t="s">
        <v>705</v>
      </c>
      <c r="C797" s="379"/>
      <c r="D797" s="294" t="s">
        <v>592</v>
      </c>
      <c r="E797" s="295" t="s">
        <v>7</v>
      </c>
      <c r="F797" s="398">
        <v>32</v>
      </c>
      <c r="G797" s="272">
        <v>1</v>
      </c>
      <c r="H797" s="237">
        <f t="shared" si="9"/>
        <v>32</v>
      </c>
    </row>
    <row r="798" spans="1:8" ht="24">
      <c r="A798" s="223"/>
      <c r="B798" s="250" t="s">
        <v>87</v>
      </c>
      <c r="C798" s="379"/>
      <c r="D798" s="294" t="s">
        <v>593</v>
      </c>
      <c r="E798" s="295" t="s">
        <v>4</v>
      </c>
      <c r="F798" s="399">
        <f>2.4*0.2*2</f>
        <v>0.96</v>
      </c>
      <c r="G798" s="236">
        <v>906</v>
      </c>
      <c r="H798" s="237">
        <f t="shared" si="9"/>
        <v>869.76</v>
      </c>
    </row>
    <row r="799" spans="1:8" ht="26">
      <c r="A799" s="223"/>
      <c r="B799" s="250" t="s">
        <v>87</v>
      </c>
      <c r="C799" s="379"/>
      <c r="D799" s="294" t="s">
        <v>594</v>
      </c>
      <c r="E799" s="295" t="s">
        <v>7</v>
      </c>
      <c r="F799" s="399">
        <v>1</v>
      </c>
      <c r="G799" s="236">
        <v>4000</v>
      </c>
      <c r="H799" s="237">
        <f t="shared" si="9"/>
        <v>4000</v>
      </c>
    </row>
    <row r="800" spans="1:8" ht="26">
      <c r="A800" s="223"/>
      <c r="B800" s="250" t="s">
        <v>87</v>
      </c>
      <c r="C800" s="379"/>
      <c r="D800" s="298" t="s">
        <v>595</v>
      </c>
      <c r="E800" s="295" t="s">
        <v>4</v>
      </c>
      <c r="F800" s="399">
        <f>SUM(F801:F804)</f>
        <v>51.587999999999994</v>
      </c>
      <c r="G800" s="236">
        <f>682*1.155+130</f>
        <v>917.71</v>
      </c>
      <c r="H800" s="237">
        <f>F800*G800</f>
        <v>47342.823479999999</v>
      </c>
    </row>
    <row r="801" spans="1:8" ht="26">
      <c r="A801" s="223"/>
      <c r="B801" s="292"/>
      <c r="C801" s="379"/>
      <c r="D801" s="299" t="s">
        <v>596</v>
      </c>
      <c r="E801" s="300" t="s">
        <v>4</v>
      </c>
      <c r="F801" s="396">
        <f>2.5*4*1+ (0.72+0.97)*2*0.6+0.5*0.5+0.6*0.2</f>
        <v>12.398</v>
      </c>
      <c r="G801" s="134"/>
      <c r="H801" s="237"/>
    </row>
    <row r="802" spans="1:8">
      <c r="A802" s="223"/>
      <c r="B802" s="292"/>
      <c r="C802" s="379"/>
      <c r="D802" s="299" t="s">
        <v>597</v>
      </c>
      <c r="E802" s="300" t="s">
        <v>4</v>
      </c>
      <c r="F802" s="396">
        <f>1.05*28.9</f>
        <v>30.344999999999999</v>
      </c>
      <c r="G802" s="134"/>
      <c r="H802" s="237"/>
    </row>
    <row r="803" spans="1:8">
      <c r="A803" s="223"/>
      <c r="B803" s="292"/>
      <c r="C803" s="379"/>
      <c r="D803" s="299" t="s">
        <v>598</v>
      </c>
      <c r="E803" s="300" t="s">
        <v>4</v>
      </c>
      <c r="F803" s="396">
        <f xml:space="preserve"> 0.9*8.45</f>
        <v>7.6049999999999995</v>
      </c>
      <c r="G803" s="134"/>
      <c r="H803" s="237"/>
    </row>
    <row r="804" spans="1:8" ht="26">
      <c r="A804" s="223"/>
      <c r="B804" s="292"/>
      <c r="C804" s="379"/>
      <c r="D804" s="299" t="s">
        <v>599</v>
      </c>
      <c r="E804" s="300" t="s">
        <v>4</v>
      </c>
      <c r="F804" s="397">
        <f>0.5*0.5*2 + 1.2*0.2*2+0.65*0.2*2</f>
        <v>1.24</v>
      </c>
      <c r="G804" s="134"/>
      <c r="H804" s="237"/>
    </row>
    <row r="805" spans="1:8">
      <c r="A805" s="223"/>
      <c r="B805" s="292"/>
      <c r="C805" s="379"/>
      <c r="D805" s="293"/>
      <c r="E805" s="45"/>
      <c r="F805" s="279"/>
      <c r="G805" s="134"/>
      <c r="H805" s="237"/>
    </row>
    <row r="806" spans="1:8">
      <c r="A806" s="223"/>
      <c r="B806" s="292"/>
      <c r="C806" s="277"/>
      <c r="D806" s="152"/>
      <c r="E806" s="45"/>
      <c r="F806" s="279"/>
      <c r="G806" s="134"/>
      <c r="H806" s="237"/>
    </row>
    <row r="807" spans="1:8" ht="24">
      <c r="A807" s="223"/>
      <c r="B807" s="292"/>
      <c r="C807" s="277" t="s">
        <v>600</v>
      </c>
      <c r="D807" s="281" t="s">
        <v>601</v>
      </c>
      <c r="E807" s="300"/>
      <c r="F807" s="279"/>
      <c r="G807" s="134"/>
      <c r="H807" s="237"/>
    </row>
    <row r="808" spans="1:8" ht="39">
      <c r="A808" s="223"/>
      <c r="B808" s="250" t="s">
        <v>87</v>
      </c>
      <c r="C808" s="39" t="s">
        <v>766</v>
      </c>
      <c r="D808" s="280" t="s">
        <v>602</v>
      </c>
      <c r="E808" s="295" t="s">
        <v>4</v>
      </c>
      <c r="F808" s="301">
        <f>30.95*1.1+(8+3.1+3.35)*0.1*1.1</f>
        <v>35.634500000000003</v>
      </c>
      <c r="G808" s="236">
        <v>2360</v>
      </c>
      <c r="H808" s="237">
        <f t="shared" si="9"/>
        <v>84097.420000000013</v>
      </c>
    </row>
    <row r="809" spans="1:8" ht="24">
      <c r="A809" s="282"/>
      <c r="B809" s="250" t="s">
        <v>87</v>
      </c>
      <c r="C809" s="39" t="s">
        <v>767</v>
      </c>
      <c r="D809" s="280" t="s">
        <v>603</v>
      </c>
      <c r="E809" s="300" t="s">
        <v>4</v>
      </c>
      <c r="F809" s="301">
        <f>30.95*1.1</f>
        <v>34.045000000000002</v>
      </c>
      <c r="G809" s="302">
        <v>800</v>
      </c>
      <c r="H809" s="237">
        <f t="shared" si="9"/>
        <v>27236</v>
      </c>
    </row>
    <row r="810" spans="1:8" ht="24">
      <c r="A810" s="223"/>
      <c r="B810" s="250" t="s">
        <v>87</v>
      </c>
      <c r="C810" s="39" t="s">
        <v>768</v>
      </c>
      <c r="D810" s="280" t="s">
        <v>604</v>
      </c>
      <c r="E810" s="300" t="s">
        <v>4</v>
      </c>
      <c r="F810" s="301">
        <v>30.95</v>
      </c>
      <c r="G810" s="302">
        <v>500</v>
      </c>
      <c r="H810" s="237">
        <f t="shared" si="9"/>
        <v>15475</v>
      </c>
    </row>
    <row r="811" spans="1:8" ht="26">
      <c r="A811" s="223"/>
      <c r="B811" s="303" t="s">
        <v>706</v>
      </c>
      <c r="C811" s="39" t="s">
        <v>769</v>
      </c>
      <c r="D811" s="285" t="s">
        <v>605</v>
      </c>
      <c r="E811" s="304" t="s">
        <v>4</v>
      </c>
      <c r="F811" s="305">
        <f>(31.75+(13.5+3.4)*0.15+ (13.5+3.4)*0.65)*1.15</f>
        <v>52.06049999999999</v>
      </c>
      <c r="G811" s="236">
        <f>437*1.151</f>
        <v>502.98700000000002</v>
      </c>
      <c r="H811" s="306">
        <f t="shared" si="9"/>
        <v>26185.754713499995</v>
      </c>
    </row>
    <row r="812" spans="1:8" ht="26">
      <c r="A812" s="223"/>
      <c r="B812" s="292"/>
      <c r="C812" s="39"/>
      <c r="D812" s="280" t="s">
        <v>606</v>
      </c>
      <c r="E812" s="300"/>
      <c r="F812" s="307"/>
      <c r="G812" s="247"/>
      <c r="H812" s="237">
        <f t="shared" si="9"/>
        <v>0</v>
      </c>
    </row>
    <row r="813" spans="1:8" ht="24">
      <c r="A813" s="308"/>
      <c r="B813" s="303" t="s">
        <v>707</v>
      </c>
      <c r="C813" s="389"/>
      <c r="D813" s="285" t="s">
        <v>607</v>
      </c>
      <c r="E813" s="304" t="s">
        <v>4</v>
      </c>
      <c r="F813" s="285">
        <f>31.75+(13.5+3.4)*0.15+ (13.5+3.4)*0.65</f>
        <v>45.269999999999996</v>
      </c>
      <c r="G813" s="309">
        <v>120</v>
      </c>
      <c r="H813" s="306">
        <f t="shared" si="9"/>
        <v>5432.4</v>
      </c>
    </row>
    <row r="814" spans="1:8" ht="24">
      <c r="A814" s="310"/>
      <c r="B814" s="311" t="s">
        <v>708</v>
      </c>
      <c r="C814" s="387" t="s">
        <v>770</v>
      </c>
      <c r="D814" s="289" t="s">
        <v>608</v>
      </c>
      <c r="E814" s="312" t="s">
        <v>4</v>
      </c>
      <c r="F814" s="313">
        <f>(31.75+(13.5+3.4)*0.15+ (13.5+3.4)*0.65)*1.15</f>
        <v>52.06049999999999</v>
      </c>
      <c r="G814" s="258">
        <f>226*1.155</f>
        <v>261.03000000000003</v>
      </c>
      <c r="H814" s="259">
        <f t="shared" si="9"/>
        <v>13589.352314999998</v>
      </c>
    </row>
    <row r="815" spans="1:8" ht="24">
      <c r="A815" s="310"/>
      <c r="B815" s="311" t="s">
        <v>709</v>
      </c>
      <c r="C815" s="387"/>
      <c r="D815" s="289" t="s">
        <v>609</v>
      </c>
      <c r="E815" s="312" t="s">
        <v>4</v>
      </c>
      <c r="F815" s="289">
        <v>45.27</v>
      </c>
      <c r="G815" s="258">
        <v>75</v>
      </c>
      <c r="H815" s="259">
        <f t="shared" si="9"/>
        <v>3395.2500000000005</v>
      </c>
    </row>
    <row r="816" spans="1:8" ht="39">
      <c r="A816" s="223"/>
      <c r="B816" s="284" t="s">
        <v>568</v>
      </c>
      <c r="C816" s="39" t="s">
        <v>771</v>
      </c>
      <c r="D816" s="280" t="s">
        <v>610</v>
      </c>
      <c r="E816" s="295" t="s">
        <v>4</v>
      </c>
      <c r="F816" s="301">
        <f>30.95*1.15</f>
        <v>35.592499999999994</v>
      </c>
      <c r="G816" s="236">
        <f>(381+378)*1.155</f>
        <v>876.64499999999998</v>
      </c>
      <c r="H816" s="237">
        <f t="shared" si="9"/>
        <v>31201.987162499994</v>
      </c>
    </row>
    <row r="817" spans="1:8" ht="24">
      <c r="A817" s="223"/>
      <c r="B817" s="284" t="s">
        <v>319</v>
      </c>
      <c r="C817" s="39"/>
      <c r="D817" s="314" t="s">
        <v>611</v>
      </c>
      <c r="E817" s="295" t="s">
        <v>4</v>
      </c>
      <c r="F817" s="301">
        <v>30.95</v>
      </c>
      <c r="G817" s="302">
        <v>160</v>
      </c>
      <c r="H817" s="237">
        <f t="shared" si="9"/>
        <v>4952</v>
      </c>
    </row>
    <row r="818" spans="1:8" ht="39">
      <c r="A818" s="223"/>
      <c r="B818" s="284" t="s">
        <v>573</v>
      </c>
      <c r="C818" s="39" t="s">
        <v>772</v>
      </c>
      <c r="D818" s="285" t="s">
        <v>612</v>
      </c>
      <c r="E818" s="315" t="s">
        <v>4</v>
      </c>
      <c r="F818" s="316">
        <f>(31.75+(13.5+3.4)*0.85)*1.15</f>
        <v>53.032249999999991</v>
      </c>
      <c r="G818" s="236">
        <f>141*1.155</f>
        <v>162.85499999999999</v>
      </c>
      <c r="H818" s="237">
        <f>F818*G818</f>
        <v>8636.5670737499986</v>
      </c>
    </row>
    <row r="819" spans="1:8">
      <c r="A819" s="223"/>
      <c r="B819" s="292"/>
      <c r="C819" s="39"/>
      <c r="D819" s="280" t="s">
        <v>613</v>
      </c>
      <c r="E819" s="295"/>
      <c r="F819" s="307"/>
      <c r="G819" s="236"/>
      <c r="H819" s="237">
        <f t="shared" si="9"/>
        <v>0</v>
      </c>
    </row>
    <row r="820" spans="1:8">
      <c r="A820" s="223"/>
      <c r="B820" s="292" t="s">
        <v>451</v>
      </c>
      <c r="C820" s="39"/>
      <c r="D820" s="285" t="s">
        <v>614</v>
      </c>
      <c r="E820" s="295" t="s">
        <v>4</v>
      </c>
      <c r="F820" s="211">
        <v>31.75</v>
      </c>
      <c r="G820" s="236">
        <v>113</v>
      </c>
      <c r="H820" s="237">
        <f t="shared" si="9"/>
        <v>3587.75</v>
      </c>
    </row>
    <row r="821" spans="1:8">
      <c r="A821" s="223"/>
      <c r="B821" s="292" t="s">
        <v>453</v>
      </c>
      <c r="C821" s="39"/>
      <c r="D821" s="285" t="s">
        <v>615</v>
      </c>
      <c r="E821" s="295" t="s">
        <v>4</v>
      </c>
      <c r="F821" s="211">
        <f>(13.5+3.4)*0.85</f>
        <v>14.364999999999998</v>
      </c>
      <c r="G821" s="236">
        <v>130</v>
      </c>
      <c r="H821" s="237">
        <f t="shared" si="9"/>
        <v>1867.4499999999998</v>
      </c>
    </row>
    <row r="822" spans="1:8">
      <c r="A822" s="223"/>
      <c r="B822" s="284" t="s">
        <v>578</v>
      </c>
      <c r="C822" s="39" t="s">
        <v>773</v>
      </c>
      <c r="D822" s="280" t="s">
        <v>616</v>
      </c>
      <c r="E822" s="295" t="s">
        <v>4</v>
      </c>
      <c r="F822" s="316">
        <f>(31.75+(13.5+3.4)*0.85)</f>
        <v>46.114999999999995</v>
      </c>
      <c r="G822" s="236">
        <v>146</v>
      </c>
      <c r="H822" s="237">
        <f t="shared" si="9"/>
        <v>6732.7899999999991</v>
      </c>
    </row>
    <row r="823" spans="1:8">
      <c r="A823" s="223"/>
      <c r="B823" s="284"/>
      <c r="C823" s="39"/>
      <c r="D823" s="280" t="s">
        <v>617</v>
      </c>
      <c r="E823" s="295"/>
      <c r="F823" s="316"/>
      <c r="G823" s="236"/>
      <c r="H823" s="237"/>
    </row>
    <row r="824" spans="1:8">
      <c r="A824" s="223"/>
      <c r="B824" s="39" t="s">
        <v>508</v>
      </c>
      <c r="C824" s="39" t="s">
        <v>508</v>
      </c>
      <c r="D824" s="280" t="s">
        <v>618</v>
      </c>
      <c r="E824" s="295"/>
      <c r="F824" s="279"/>
      <c r="G824" s="272"/>
      <c r="H824" s="237"/>
    </row>
    <row r="825" spans="1:8" ht="26">
      <c r="A825" s="223"/>
      <c r="B825" s="365" t="s">
        <v>619</v>
      </c>
      <c r="C825" s="39" t="s">
        <v>774</v>
      </c>
      <c r="D825" s="280" t="s">
        <v>620</v>
      </c>
      <c r="E825" s="295"/>
      <c r="F825" s="279"/>
      <c r="G825" s="272"/>
      <c r="H825" s="237"/>
    </row>
    <row r="826" spans="1:8">
      <c r="A826" s="223"/>
      <c r="B826" s="292"/>
      <c r="C826" s="220" t="s">
        <v>775</v>
      </c>
      <c r="D826" s="317" t="s">
        <v>621</v>
      </c>
      <c r="E826" s="45"/>
      <c r="F826" s="279"/>
      <c r="G826" s="134"/>
      <c r="H826" s="237"/>
    </row>
    <row r="827" spans="1:8">
      <c r="A827" s="223"/>
      <c r="B827" s="292"/>
      <c r="C827" s="277"/>
      <c r="D827" s="152"/>
      <c r="E827" s="45"/>
      <c r="F827" s="279"/>
      <c r="G827" s="134"/>
      <c r="H827" s="237"/>
    </row>
    <row r="828" spans="1:8" ht="24">
      <c r="A828" s="223"/>
      <c r="B828" s="277" t="s">
        <v>600</v>
      </c>
      <c r="C828" s="277"/>
      <c r="D828" s="281" t="s">
        <v>622</v>
      </c>
      <c r="E828" s="45"/>
      <c r="F828" s="279"/>
      <c r="G828" s="134"/>
      <c r="H828" s="237"/>
    </row>
    <row r="829" spans="1:8">
      <c r="A829" s="223"/>
      <c r="B829" s="292"/>
      <c r="C829" s="39" t="s">
        <v>776</v>
      </c>
      <c r="D829" s="280" t="s">
        <v>623</v>
      </c>
      <c r="E829" s="234" t="s">
        <v>4</v>
      </c>
      <c r="F829" s="297">
        <f>2.38*2.38</f>
        <v>5.6643999999999997</v>
      </c>
      <c r="G829" s="134">
        <v>906</v>
      </c>
      <c r="H829" s="237">
        <f>F829*G829</f>
        <v>5131.9463999999998</v>
      </c>
    </row>
    <row r="830" spans="1:8">
      <c r="A830" s="223"/>
      <c r="B830" s="292"/>
      <c r="C830" s="39"/>
      <c r="D830" s="318"/>
      <c r="E830" s="234"/>
      <c r="F830" s="301"/>
      <c r="G830" s="134"/>
      <c r="H830" s="237"/>
    </row>
    <row r="831" spans="1:8" ht="26">
      <c r="A831" s="223"/>
      <c r="B831" s="303" t="s">
        <v>706</v>
      </c>
      <c r="C831" s="39" t="s">
        <v>777</v>
      </c>
      <c r="D831" s="285" t="s">
        <v>624</v>
      </c>
      <c r="E831" s="234" t="s">
        <v>4</v>
      </c>
      <c r="F831" s="297">
        <f xml:space="preserve"> (2.38*2.38+(2.38*4)*0.15+2.38*4*0.8+(0.72+0.92)*2*0.3)*1.15</f>
        <v>18.046259999999997</v>
      </c>
      <c r="G831" s="236">
        <v>503</v>
      </c>
      <c r="H831" s="237">
        <f t="shared" ref="H831:H853" si="10">F831*G831</f>
        <v>9077.2687799999985</v>
      </c>
    </row>
    <row r="832" spans="1:8" ht="24">
      <c r="A832" s="223"/>
      <c r="B832" s="292"/>
      <c r="C832" s="39"/>
      <c r="D832" s="295" t="s">
        <v>625</v>
      </c>
      <c r="E832" s="234"/>
      <c r="F832" s="279"/>
      <c r="G832" s="134"/>
      <c r="H832" s="237"/>
    </row>
    <row r="833" spans="1:8" ht="24">
      <c r="A833" s="223"/>
      <c r="B833" s="303" t="s">
        <v>707</v>
      </c>
      <c r="C833" s="39"/>
      <c r="D833" s="285" t="s">
        <v>626</v>
      </c>
      <c r="E833" s="234" t="s">
        <v>4</v>
      </c>
      <c r="F833" s="301">
        <v>15.69</v>
      </c>
      <c r="G833" s="134">
        <v>120</v>
      </c>
      <c r="H833" s="237">
        <f t="shared" si="10"/>
        <v>1882.8</v>
      </c>
    </row>
    <row r="834" spans="1:8" ht="24">
      <c r="A834" s="310"/>
      <c r="B834" s="311" t="s">
        <v>708</v>
      </c>
      <c r="C834" s="387" t="s">
        <v>778</v>
      </c>
      <c r="D834" s="289" t="s">
        <v>627</v>
      </c>
      <c r="E834" s="256" t="s">
        <v>4</v>
      </c>
      <c r="F834" s="297">
        <f xml:space="preserve"> (2.38*2.38+(2.38*4)*0.15+2.38*4*0.8+(0.72+0.92)*2*0.3)*1.15</f>
        <v>18.046259999999997</v>
      </c>
      <c r="G834" s="258">
        <v>261</v>
      </c>
      <c r="H834" s="259">
        <f t="shared" si="10"/>
        <v>4710.0738599999995</v>
      </c>
    </row>
    <row r="835" spans="1:8" ht="24">
      <c r="A835" s="310"/>
      <c r="B835" s="311" t="s">
        <v>709</v>
      </c>
      <c r="C835" s="387"/>
      <c r="D835" s="289" t="s">
        <v>628</v>
      </c>
      <c r="E835" s="256" t="s">
        <v>4</v>
      </c>
      <c r="F835" s="289">
        <v>15.69</v>
      </c>
      <c r="G835" s="149">
        <v>75</v>
      </c>
      <c r="H835" s="259">
        <f t="shared" si="10"/>
        <v>1176.75</v>
      </c>
    </row>
    <row r="836" spans="1:8" ht="26">
      <c r="A836" s="223"/>
      <c r="B836" s="284" t="s">
        <v>568</v>
      </c>
      <c r="C836" s="39" t="s">
        <v>779</v>
      </c>
      <c r="D836" s="280" t="s">
        <v>629</v>
      </c>
      <c r="E836" s="234" t="s">
        <v>4</v>
      </c>
      <c r="F836" s="297">
        <f>(2.38*2.38)*1.15</f>
        <v>6.5140599999999989</v>
      </c>
      <c r="G836" s="236">
        <f>(381+378)*1.155</f>
        <v>876.64499999999998</v>
      </c>
      <c r="H836" s="237">
        <f t="shared" si="10"/>
        <v>5710.5181286999987</v>
      </c>
    </row>
    <row r="837" spans="1:8" ht="24">
      <c r="A837" s="223"/>
      <c r="B837" s="250" t="s">
        <v>319</v>
      </c>
      <c r="C837" s="39"/>
      <c r="D837" s="314" t="s">
        <v>630</v>
      </c>
      <c r="E837" s="234" t="s">
        <v>4</v>
      </c>
      <c r="F837" s="280">
        <v>5.66</v>
      </c>
      <c r="G837" s="236">
        <v>160</v>
      </c>
      <c r="H837" s="237">
        <f t="shared" si="10"/>
        <v>905.6</v>
      </c>
    </row>
    <row r="838" spans="1:8" ht="39">
      <c r="A838" s="223"/>
      <c r="B838" s="367" t="s">
        <v>568</v>
      </c>
      <c r="C838" s="39" t="s">
        <v>780</v>
      </c>
      <c r="D838" s="285" t="s">
        <v>797</v>
      </c>
      <c r="E838" s="234" t="s">
        <v>4</v>
      </c>
      <c r="F838" s="297">
        <f>(2.38*2.38+(2.38*4)*0.15+2.38*4*1+(0.72+0.92)*2*0.5)*1.15</f>
        <v>20.990259999999999</v>
      </c>
      <c r="G838" s="236">
        <f>141*1.155</f>
        <v>162.85499999999999</v>
      </c>
      <c r="H838" s="237">
        <f t="shared" si="10"/>
        <v>3418.3687922999998</v>
      </c>
    </row>
    <row r="839" spans="1:8" ht="24">
      <c r="A839" s="223"/>
      <c r="B839" s="319"/>
      <c r="C839" s="39"/>
      <c r="D839" s="295" t="s">
        <v>631</v>
      </c>
      <c r="E839" s="234"/>
      <c r="F839" s="279"/>
      <c r="G839" s="134"/>
      <c r="H839" s="237"/>
    </row>
    <row r="840" spans="1:8">
      <c r="A840" s="223"/>
      <c r="B840" s="319" t="s">
        <v>451</v>
      </c>
      <c r="C840" s="39"/>
      <c r="D840" s="285" t="s">
        <v>632</v>
      </c>
      <c r="E840" s="234" t="s">
        <v>4</v>
      </c>
      <c r="F840" s="301">
        <f>2.38*2.38</f>
        <v>5.6643999999999997</v>
      </c>
      <c r="G840" s="134">
        <v>113</v>
      </c>
      <c r="H840" s="237">
        <f t="shared" si="10"/>
        <v>640.07719999999995</v>
      </c>
    </row>
    <row r="841" spans="1:8">
      <c r="A841" s="223"/>
      <c r="B841" s="319" t="s">
        <v>453</v>
      </c>
      <c r="C841" s="39"/>
      <c r="D841" s="285" t="s">
        <v>633</v>
      </c>
      <c r="E841" s="234" t="s">
        <v>4</v>
      </c>
      <c r="F841" s="301">
        <f>(2.38*4*0.15+2.38*4*1+(0.72+0.92)*2*0.5)</f>
        <v>12.588000000000001</v>
      </c>
      <c r="G841" s="134">
        <v>130</v>
      </c>
      <c r="H841" s="237">
        <f t="shared" si="10"/>
        <v>1636.44</v>
      </c>
    </row>
    <row r="842" spans="1:8">
      <c r="A842" s="223"/>
      <c r="B842" s="292"/>
      <c r="C842" s="39" t="s">
        <v>781</v>
      </c>
      <c r="D842" s="280" t="s">
        <v>798</v>
      </c>
      <c r="E842" s="234" t="s">
        <v>4</v>
      </c>
      <c r="F842" s="297">
        <f>2.38*2.38</f>
        <v>5.6643999999999997</v>
      </c>
      <c r="G842" s="134">
        <v>146</v>
      </c>
      <c r="H842" s="237">
        <f t="shared" si="10"/>
        <v>827.00239999999997</v>
      </c>
    </row>
    <row r="843" spans="1:8">
      <c r="A843" s="223"/>
      <c r="B843" s="39" t="s">
        <v>508</v>
      </c>
      <c r="C843" s="39"/>
      <c r="D843" s="280" t="s">
        <v>799</v>
      </c>
      <c r="E843" s="234"/>
      <c r="F843" s="279"/>
      <c r="G843" s="134"/>
      <c r="H843" s="237"/>
    </row>
    <row r="844" spans="1:8">
      <c r="A844" s="223"/>
      <c r="B844" s="292"/>
      <c r="C844" s="39"/>
      <c r="D844" s="280"/>
      <c r="E844" s="45"/>
      <c r="F844" s="279"/>
      <c r="G844" s="134"/>
      <c r="H844" s="237"/>
    </row>
    <row r="845" spans="1:8" ht="19">
      <c r="A845" s="223"/>
      <c r="B845" s="394" t="s">
        <v>9</v>
      </c>
      <c r="C845" s="220" t="s">
        <v>782</v>
      </c>
      <c r="D845" s="293" t="s">
        <v>634</v>
      </c>
      <c r="E845" s="45"/>
      <c r="F845" s="279"/>
      <c r="G845" s="134"/>
      <c r="H845" s="237">
        <f t="shared" si="10"/>
        <v>0</v>
      </c>
    </row>
    <row r="846" spans="1:8" ht="19">
      <c r="A846" s="223"/>
      <c r="B846" s="394" t="s">
        <v>9</v>
      </c>
      <c r="C846" s="220" t="s">
        <v>783</v>
      </c>
      <c r="D846" s="293" t="s">
        <v>635</v>
      </c>
      <c r="E846" s="45"/>
      <c r="F846" s="279"/>
      <c r="G846" s="134"/>
      <c r="H846" s="237">
        <f t="shared" si="10"/>
        <v>0</v>
      </c>
    </row>
    <row r="847" spans="1:8" ht="19">
      <c r="A847" s="223"/>
      <c r="B847" s="394" t="s">
        <v>9</v>
      </c>
      <c r="C847" s="220" t="s">
        <v>784</v>
      </c>
      <c r="D847" s="293" t="s">
        <v>636</v>
      </c>
      <c r="E847" s="45"/>
      <c r="F847" s="279"/>
      <c r="G847" s="134"/>
      <c r="H847" s="237">
        <f t="shared" si="10"/>
        <v>0</v>
      </c>
    </row>
    <row r="848" spans="1:8" ht="19">
      <c r="A848" s="223"/>
      <c r="B848" s="394" t="s">
        <v>9</v>
      </c>
      <c r="C848" s="220" t="s">
        <v>785</v>
      </c>
      <c r="D848" s="293" t="s">
        <v>621</v>
      </c>
      <c r="E848" s="45"/>
      <c r="F848" s="279"/>
      <c r="G848" s="134"/>
      <c r="H848" s="237">
        <f t="shared" si="10"/>
        <v>0</v>
      </c>
    </row>
    <row r="849" spans="1:8">
      <c r="A849" s="223"/>
      <c r="B849" s="292"/>
      <c r="C849" s="220"/>
      <c r="D849" s="293"/>
      <c r="E849" s="45"/>
      <c r="F849" s="279"/>
      <c r="G849" s="134"/>
      <c r="H849" s="237"/>
    </row>
    <row r="850" spans="1:8" ht="26">
      <c r="A850" s="223"/>
      <c r="B850" s="292"/>
      <c r="C850" s="220"/>
      <c r="D850" s="294" t="s">
        <v>637</v>
      </c>
      <c r="E850" s="280" t="s">
        <v>2</v>
      </c>
      <c r="F850" s="280">
        <f>2.38*4*2</f>
        <v>19.04</v>
      </c>
      <c r="G850" s="134">
        <v>514.29999999999995</v>
      </c>
      <c r="H850" s="237">
        <f t="shared" si="10"/>
        <v>9792.271999999999</v>
      </c>
    </row>
    <row r="851" spans="1:8" ht="26">
      <c r="A851" s="223"/>
      <c r="B851" s="292"/>
      <c r="C851" s="220"/>
      <c r="D851" s="294" t="s">
        <v>638</v>
      </c>
      <c r="E851" s="280" t="s">
        <v>7</v>
      </c>
      <c r="F851" s="280">
        <v>1</v>
      </c>
      <c r="G851" s="134">
        <f>4200*1.155+2500</f>
        <v>7351</v>
      </c>
      <c r="H851" s="237">
        <f t="shared" si="10"/>
        <v>7351</v>
      </c>
    </row>
    <row r="852" spans="1:8" ht="26">
      <c r="A852" s="223"/>
      <c r="B852" s="292"/>
      <c r="C852" s="220"/>
      <c r="D852" s="320" t="s">
        <v>639</v>
      </c>
      <c r="E852" s="280" t="s">
        <v>7</v>
      </c>
      <c r="F852" s="280">
        <v>1</v>
      </c>
      <c r="G852" s="236">
        <f>1850*1.155+2500</f>
        <v>4636.75</v>
      </c>
      <c r="H852" s="237">
        <f t="shared" si="10"/>
        <v>4636.75</v>
      </c>
    </row>
    <row r="853" spans="1:8" ht="52">
      <c r="A853" s="223"/>
      <c r="B853" s="292"/>
      <c r="C853" s="220"/>
      <c r="D853" s="321" t="s">
        <v>640</v>
      </c>
      <c r="E853" s="280" t="s">
        <v>7</v>
      </c>
      <c r="F853" s="280">
        <v>1</v>
      </c>
      <c r="G853" s="236">
        <v>4600</v>
      </c>
      <c r="H853" s="237">
        <f t="shared" si="10"/>
        <v>4600</v>
      </c>
    </row>
    <row r="856" spans="1:8">
      <c r="D856" s="395" t="s">
        <v>800</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199"/>
  <sheetViews>
    <sheetView tabSelected="1" workbookViewId="0">
      <selection activeCell="D24" sqref="D24"/>
    </sheetView>
  </sheetViews>
  <sheetFormatPr baseColWidth="10" defaultColWidth="8.83203125" defaultRowHeight="12"/>
  <cols>
    <col min="1" max="1" width="4.6640625" style="138" customWidth="1"/>
    <col min="2" max="2" width="6.83203125" style="138" customWidth="1"/>
    <col min="3" max="3" width="4.33203125" style="138" customWidth="1"/>
    <col min="4" max="4" width="78.6640625" style="138" customWidth="1"/>
    <col min="5" max="5" width="4.83203125" style="138" customWidth="1"/>
    <col min="6" max="6" width="7.6640625" style="404" customWidth="1"/>
    <col min="7" max="7" width="10.1640625" style="48" customWidth="1"/>
    <col min="8" max="8" width="12.33203125" style="404" customWidth="1"/>
    <col min="9" max="9" width="8.83203125" style="138"/>
    <col min="10" max="10" width="9.33203125" style="138" bestFit="1" customWidth="1"/>
    <col min="11" max="16384" width="8.83203125" style="138"/>
  </cols>
  <sheetData>
    <row r="1" spans="1:8" ht="15">
      <c r="B1" s="282"/>
      <c r="D1" s="78" t="s">
        <v>974</v>
      </c>
      <c r="E1" s="144"/>
      <c r="F1" s="423"/>
      <c r="G1" s="423"/>
      <c r="H1" s="61"/>
    </row>
    <row r="2" spans="1:8" ht="14">
      <c r="B2" s="282"/>
      <c r="D2" s="152" t="s">
        <v>2578</v>
      </c>
      <c r="E2" s="144"/>
      <c r="F2" s="423"/>
      <c r="G2" s="423"/>
      <c r="H2" s="61"/>
    </row>
    <row r="3" spans="1:8">
      <c r="B3" s="282"/>
      <c r="D3" s="165"/>
      <c r="E3" s="144"/>
      <c r="F3" s="423"/>
      <c r="G3" s="423"/>
      <c r="H3" s="61"/>
    </row>
    <row r="4" spans="1:8">
      <c r="B4" s="282"/>
      <c r="D4" s="77"/>
      <c r="E4" s="144"/>
      <c r="F4" s="423"/>
      <c r="G4" s="423"/>
      <c r="H4" s="61"/>
    </row>
    <row r="5" spans="1:8" ht="15">
      <c r="A5" s="463"/>
      <c r="B5"/>
      <c r="C5" s="523"/>
      <c r="D5" s="632" t="s">
        <v>948</v>
      </c>
      <c r="E5" s="144"/>
      <c r="F5" s="423"/>
      <c r="G5" s="423"/>
      <c r="H5" s="61"/>
    </row>
    <row r="6" spans="1:8" ht="15">
      <c r="A6" s="463"/>
      <c r="B6"/>
      <c r="C6" s="523"/>
      <c r="D6" s="1" t="s">
        <v>975</v>
      </c>
      <c r="E6" s="144"/>
      <c r="F6" s="423"/>
      <c r="G6" s="423"/>
      <c r="H6" s="61"/>
    </row>
    <row r="7" spans="1:8" ht="15">
      <c r="A7" s="463"/>
      <c r="B7"/>
      <c r="C7" s="523"/>
      <c r="D7" s="1"/>
      <c r="E7" s="144"/>
      <c r="F7" s="423"/>
      <c r="G7" s="423"/>
      <c r="H7" s="61"/>
    </row>
    <row r="8" spans="1:8" ht="15">
      <c r="A8" s="463"/>
      <c r="B8"/>
      <c r="C8" s="523"/>
      <c r="D8" s="504"/>
      <c r="E8" s="144"/>
      <c r="F8" s="423"/>
      <c r="G8" s="423"/>
      <c r="H8" s="61"/>
    </row>
    <row r="9" spans="1:8" ht="13">
      <c r="B9" s="635" t="s">
        <v>2676</v>
      </c>
      <c r="C9" s="441"/>
      <c r="E9" s="152"/>
      <c r="F9" s="423"/>
      <c r="G9" s="423"/>
      <c r="H9" s="61"/>
    </row>
    <row r="10" spans="1:8" ht="13">
      <c r="B10" s="443" t="s">
        <v>2675</v>
      </c>
      <c r="C10" s="441"/>
      <c r="D10" s="1"/>
      <c r="E10" s="144"/>
      <c r="F10" s="423"/>
      <c r="G10" s="423"/>
      <c r="H10" s="61"/>
    </row>
    <row r="11" spans="1:8">
      <c r="B11" s="282"/>
      <c r="D11" s="77"/>
      <c r="E11" s="144"/>
      <c r="F11" s="423"/>
      <c r="G11" s="423"/>
      <c r="H11" s="61"/>
    </row>
    <row r="12" spans="1:8">
      <c r="B12" s="282"/>
      <c r="D12" s="77"/>
      <c r="E12" s="144"/>
      <c r="F12" s="423"/>
      <c r="G12" s="423"/>
      <c r="H12" s="61"/>
    </row>
    <row r="13" spans="1:8" ht="14">
      <c r="B13" s="282"/>
      <c r="D13" s="54" t="s">
        <v>2673</v>
      </c>
      <c r="E13" s="144"/>
      <c r="F13" s="423"/>
      <c r="G13" s="423"/>
      <c r="H13" s="61"/>
    </row>
    <row r="14" spans="1:8">
      <c r="B14" s="282"/>
      <c r="D14" s="200"/>
      <c r="E14" s="144"/>
      <c r="F14" s="423"/>
      <c r="G14" s="423"/>
      <c r="H14" s="61"/>
    </row>
    <row r="15" spans="1:8" ht="13">
      <c r="B15" s="282" t="s">
        <v>1090</v>
      </c>
      <c r="D15" s="144" t="s">
        <v>966</v>
      </c>
      <c r="E15" s="144" t="s">
        <v>48</v>
      </c>
      <c r="F15" s="423"/>
      <c r="G15" s="423"/>
      <c r="H15" s="61">
        <f>H44</f>
        <v>0</v>
      </c>
    </row>
    <row r="16" spans="1:8" ht="13">
      <c r="B16" s="282" t="s">
        <v>1091</v>
      </c>
      <c r="D16" s="144" t="s">
        <v>967</v>
      </c>
      <c r="E16" s="144" t="s">
        <v>48</v>
      </c>
      <c r="F16" s="423"/>
      <c r="G16" s="423"/>
      <c r="H16" s="61">
        <f>H66</f>
        <v>0</v>
      </c>
    </row>
    <row r="17" spans="2:8" ht="13">
      <c r="B17" s="282" t="s">
        <v>1092</v>
      </c>
      <c r="D17" s="144" t="s">
        <v>964</v>
      </c>
      <c r="E17" s="144" t="s">
        <v>48</v>
      </c>
      <c r="F17" s="423"/>
      <c r="G17" s="423"/>
      <c r="H17" s="61">
        <f>H77</f>
        <v>0</v>
      </c>
    </row>
    <row r="18" spans="2:8" ht="13">
      <c r="B18" s="282" t="s">
        <v>1093</v>
      </c>
      <c r="D18" s="144" t="s">
        <v>965</v>
      </c>
      <c r="E18" s="144" t="s">
        <v>48</v>
      </c>
      <c r="F18" s="423"/>
      <c r="G18" s="423"/>
      <c r="H18" s="61">
        <f>H94</f>
        <v>0</v>
      </c>
    </row>
    <row r="19" spans="2:8" ht="13">
      <c r="B19" s="282" t="s">
        <v>1094</v>
      </c>
      <c r="D19" s="144" t="s">
        <v>963</v>
      </c>
      <c r="E19" s="144" t="s">
        <v>48</v>
      </c>
      <c r="F19" s="423"/>
      <c r="G19" s="423"/>
      <c r="H19" s="61">
        <f>H112</f>
        <v>0</v>
      </c>
    </row>
    <row r="20" spans="2:8" ht="13">
      <c r="B20" s="282" t="s">
        <v>1095</v>
      </c>
      <c r="D20" s="144" t="s">
        <v>1205</v>
      </c>
      <c r="E20" s="144" t="s">
        <v>48</v>
      </c>
      <c r="F20" s="423"/>
      <c r="G20" s="423"/>
      <c r="H20" s="61">
        <f>H130</f>
        <v>0</v>
      </c>
    </row>
    <row r="21" spans="2:8" ht="13">
      <c r="B21" s="282" t="s">
        <v>1096</v>
      </c>
      <c r="D21" s="144"/>
      <c r="E21" s="144"/>
      <c r="F21" s="423"/>
      <c r="G21" s="423"/>
      <c r="H21" s="61"/>
    </row>
    <row r="22" spans="2:8" ht="13">
      <c r="B22" s="282" t="s">
        <v>1097</v>
      </c>
      <c r="D22" s="144" t="s">
        <v>2674</v>
      </c>
      <c r="E22" s="144" t="s">
        <v>48</v>
      </c>
      <c r="F22" s="423"/>
      <c r="G22" s="423"/>
      <c r="H22" s="61">
        <f>SUM(H15:H21)</f>
        <v>0</v>
      </c>
    </row>
    <row r="23" spans="2:8" ht="13">
      <c r="B23" s="282" t="s">
        <v>1098</v>
      </c>
      <c r="D23" s="174"/>
      <c r="E23" s="144"/>
      <c r="F23" s="423"/>
      <c r="G23" s="423"/>
      <c r="H23" s="61"/>
    </row>
    <row r="24" spans="2:8" ht="13">
      <c r="B24" s="282" t="s">
        <v>1099</v>
      </c>
      <c r="D24" s="77"/>
      <c r="E24" s="144"/>
      <c r="F24" s="423"/>
      <c r="G24" s="423"/>
      <c r="H24" s="416"/>
    </row>
    <row r="25" spans="2:8" ht="13">
      <c r="B25" s="282" t="s">
        <v>1100</v>
      </c>
      <c r="D25" s="419"/>
      <c r="F25" s="102"/>
      <c r="G25" s="102"/>
      <c r="H25" s="42"/>
    </row>
    <row r="26" spans="2:8" ht="26">
      <c r="B26" s="420" t="s">
        <v>52</v>
      </c>
      <c r="C26" s="536"/>
      <c r="D26" s="536" t="s">
        <v>979</v>
      </c>
      <c r="E26" s="537" t="s">
        <v>980</v>
      </c>
      <c r="F26" s="538" t="s">
        <v>981</v>
      </c>
      <c r="G26" s="539" t="s">
        <v>982</v>
      </c>
      <c r="H26" s="540" t="s">
        <v>983</v>
      </c>
    </row>
    <row r="27" spans="2:8" ht="13">
      <c r="B27" s="282" t="s">
        <v>1101</v>
      </c>
      <c r="D27" s="138" t="s">
        <v>2631</v>
      </c>
      <c r="F27" s="102"/>
      <c r="G27" s="102"/>
      <c r="H27" s="42"/>
    </row>
    <row r="28" spans="2:8" ht="13">
      <c r="B28" s="282" t="s">
        <v>1102</v>
      </c>
      <c r="D28" s="138" t="s">
        <v>984</v>
      </c>
      <c r="F28" s="102"/>
      <c r="G28" s="102"/>
      <c r="H28" s="42"/>
    </row>
    <row r="29" spans="2:8" ht="13">
      <c r="B29" s="282" t="s">
        <v>1103</v>
      </c>
      <c r="D29" s="138" t="s">
        <v>985</v>
      </c>
      <c r="F29" s="102"/>
      <c r="G29" s="102"/>
      <c r="H29" s="42"/>
    </row>
    <row r="30" spans="2:8" ht="65">
      <c r="B30" s="282" t="s">
        <v>1104</v>
      </c>
      <c r="D30" s="138" t="s">
        <v>986</v>
      </c>
      <c r="F30" s="102"/>
      <c r="G30" s="102"/>
      <c r="H30" s="42"/>
    </row>
    <row r="31" spans="2:8" ht="26">
      <c r="B31" s="282" t="s">
        <v>1105</v>
      </c>
      <c r="D31" s="314" t="s">
        <v>987</v>
      </c>
      <c r="F31" s="102"/>
      <c r="G31" s="102"/>
      <c r="H31" s="42"/>
    </row>
    <row r="32" spans="2:8" ht="13">
      <c r="B32" s="282" t="s">
        <v>1106</v>
      </c>
      <c r="D32" s="138" t="s">
        <v>988</v>
      </c>
      <c r="F32" s="102"/>
      <c r="G32" s="102"/>
      <c r="H32" s="42"/>
    </row>
    <row r="33" spans="2:8" ht="52">
      <c r="B33" s="282" t="s">
        <v>1107</v>
      </c>
      <c r="D33" s="138" t="s">
        <v>989</v>
      </c>
      <c r="F33" s="102"/>
      <c r="G33" s="102"/>
      <c r="H33" s="42"/>
    </row>
    <row r="34" spans="2:8" ht="13">
      <c r="B34" s="282" t="s">
        <v>1108</v>
      </c>
      <c r="D34" s="138" t="s">
        <v>990</v>
      </c>
      <c r="F34" s="102"/>
      <c r="G34" s="102"/>
      <c r="H34" s="42"/>
    </row>
    <row r="35" spans="2:8" ht="13">
      <c r="B35" s="282" t="s">
        <v>1109</v>
      </c>
      <c r="D35" s="138" t="s">
        <v>991</v>
      </c>
      <c r="F35" s="102"/>
      <c r="G35" s="102"/>
      <c r="H35" s="42"/>
    </row>
    <row r="36" spans="2:8" ht="26">
      <c r="B36" s="282" t="s">
        <v>1110</v>
      </c>
      <c r="D36" s="138" t="s">
        <v>2536</v>
      </c>
      <c r="F36" s="102"/>
      <c r="G36" s="102"/>
      <c r="H36" s="42"/>
    </row>
    <row r="37" spans="2:8" ht="13">
      <c r="B37" s="282" t="s">
        <v>1111</v>
      </c>
      <c r="D37" s="138" t="s">
        <v>2537</v>
      </c>
      <c r="F37" s="102"/>
      <c r="G37" s="102"/>
      <c r="H37" s="42"/>
    </row>
    <row r="38" spans="2:8" ht="13">
      <c r="B38" s="282" t="s">
        <v>1112</v>
      </c>
      <c r="D38" s="138" t="s">
        <v>2538</v>
      </c>
      <c r="F38" s="102"/>
      <c r="G38" s="102"/>
      <c r="H38" s="42"/>
    </row>
    <row r="39" spans="2:8" ht="13">
      <c r="B39" s="282" t="s">
        <v>1113</v>
      </c>
      <c r="D39" s="213" t="s">
        <v>2539</v>
      </c>
      <c r="F39" s="102"/>
      <c r="G39" s="102"/>
      <c r="H39" s="42"/>
    </row>
    <row r="40" spans="2:8" ht="26">
      <c r="B40" s="282" t="s">
        <v>1114</v>
      </c>
      <c r="D40" s="213" t="s">
        <v>2540</v>
      </c>
      <c r="F40" s="102"/>
      <c r="G40" s="102"/>
      <c r="H40" s="42"/>
    </row>
    <row r="41" spans="2:8" ht="13">
      <c r="B41" s="282" t="s">
        <v>1115</v>
      </c>
      <c r="D41" s="138" t="s">
        <v>2541</v>
      </c>
      <c r="F41" s="102"/>
      <c r="G41" s="102"/>
      <c r="H41" s="42"/>
    </row>
    <row r="42" spans="2:8" ht="13">
      <c r="B42" s="282" t="s">
        <v>1116</v>
      </c>
      <c r="D42" s="138" t="s">
        <v>2542</v>
      </c>
      <c r="F42" s="102"/>
      <c r="G42" s="102"/>
      <c r="H42" s="42"/>
    </row>
    <row r="43" spans="2:8" ht="13">
      <c r="B43" s="282" t="s">
        <v>1117</v>
      </c>
      <c r="D43" s="138" t="s">
        <v>2543</v>
      </c>
      <c r="F43" s="102"/>
      <c r="G43" s="102"/>
      <c r="H43" s="42"/>
    </row>
    <row r="44" spans="2:8" ht="13">
      <c r="B44" s="282" t="s">
        <v>1414</v>
      </c>
      <c r="C44" s="699"/>
      <c r="D44" s="691" t="s">
        <v>1206</v>
      </c>
      <c r="E44" s="699" t="s">
        <v>48</v>
      </c>
      <c r="F44" s="700"/>
      <c r="G44" s="702"/>
      <c r="H44" s="703">
        <f>SUM(H45:H65)</f>
        <v>0</v>
      </c>
    </row>
    <row r="45" spans="2:8" ht="78">
      <c r="B45" s="282" t="s">
        <v>1118</v>
      </c>
      <c r="D45" s="138" t="s">
        <v>1207</v>
      </c>
      <c r="G45" s="548"/>
      <c r="H45" s="548"/>
    </row>
    <row r="46" spans="2:8" ht="221">
      <c r="B46" s="282" t="s">
        <v>1119</v>
      </c>
      <c r="C46" s="138" t="s">
        <v>1208</v>
      </c>
      <c r="D46" s="138" t="s">
        <v>2579</v>
      </c>
      <c r="E46" s="138" t="s">
        <v>7</v>
      </c>
      <c r="F46" s="404">
        <v>1</v>
      </c>
      <c r="G46" s="548"/>
      <c r="H46" s="548">
        <f t="shared" ref="H46:H53" si="0">F46*G46</f>
        <v>0</v>
      </c>
    </row>
    <row r="47" spans="2:8" ht="130">
      <c r="B47" s="282" t="s">
        <v>1120</v>
      </c>
      <c r="C47" s="138" t="s">
        <v>1209</v>
      </c>
      <c r="D47" s="138" t="s">
        <v>1210</v>
      </c>
      <c r="E47" s="138" t="s">
        <v>7</v>
      </c>
      <c r="F47" s="404">
        <v>1</v>
      </c>
      <c r="G47" s="548"/>
      <c r="H47" s="548">
        <f t="shared" si="0"/>
        <v>0</v>
      </c>
    </row>
    <row r="48" spans="2:8" ht="169">
      <c r="B48" s="282" t="s">
        <v>1415</v>
      </c>
      <c r="C48" s="138" t="s">
        <v>1211</v>
      </c>
      <c r="D48" s="138" t="s">
        <v>1212</v>
      </c>
      <c r="E48" s="138" t="s">
        <v>7</v>
      </c>
      <c r="F48" s="404">
        <v>1</v>
      </c>
      <c r="G48" s="548"/>
      <c r="H48" s="548">
        <f t="shared" si="0"/>
        <v>0</v>
      </c>
    </row>
    <row r="49" spans="2:8" ht="169">
      <c r="B49" s="282" t="s">
        <v>1416</v>
      </c>
      <c r="C49" s="138" t="s">
        <v>1213</v>
      </c>
      <c r="D49" s="138" t="s">
        <v>1214</v>
      </c>
      <c r="E49" s="138" t="s">
        <v>7</v>
      </c>
      <c r="F49" s="404">
        <v>1</v>
      </c>
      <c r="G49" s="548"/>
      <c r="H49" s="548">
        <f t="shared" si="0"/>
        <v>0</v>
      </c>
    </row>
    <row r="50" spans="2:8" ht="104">
      <c r="B50" s="282" t="s">
        <v>1417</v>
      </c>
      <c r="C50" s="138" t="s">
        <v>1215</v>
      </c>
      <c r="D50" s="138" t="s">
        <v>1216</v>
      </c>
      <c r="E50" s="138" t="s">
        <v>7</v>
      </c>
      <c r="F50" s="404">
        <v>1</v>
      </c>
      <c r="G50" s="548"/>
      <c r="H50" s="548">
        <f t="shared" si="0"/>
        <v>0</v>
      </c>
    </row>
    <row r="51" spans="2:8" ht="104">
      <c r="B51" s="282" t="s">
        <v>1418</v>
      </c>
      <c r="C51" s="138" t="s">
        <v>1217</v>
      </c>
      <c r="D51" s="138" t="s">
        <v>1218</v>
      </c>
      <c r="E51" s="138" t="s">
        <v>7</v>
      </c>
      <c r="F51" s="404">
        <v>1</v>
      </c>
      <c r="G51" s="548"/>
      <c r="H51" s="548">
        <f t="shared" si="0"/>
        <v>0</v>
      </c>
    </row>
    <row r="52" spans="2:8" ht="117">
      <c r="B52" s="282" t="s">
        <v>1419</v>
      </c>
      <c r="C52" s="138" t="s">
        <v>1219</v>
      </c>
      <c r="D52" s="138" t="s">
        <v>1220</v>
      </c>
      <c r="E52" s="138" t="s">
        <v>7</v>
      </c>
      <c r="F52" s="404">
        <v>1</v>
      </c>
      <c r="G52" s="548"/>
      <c r="H52" s="548">
        <f t="shared" si="0"/>
        <v>0</v>
      </c>
    </row>
    <row r="53" spans="2:8" ht="91">
      <c r="B53" s="282" t="s">
        <v>1420</v>
      </c>
      <c r="C53" s="138" t="s">
        <v>1221</v>
      </c>
      <c r="D53" s="138" t="s">
        <v>1222</v>
      </c>
      <c r="E53" s="138" t="s">
        <v>7</v>
      </c>
      <c r="F53" s="404">
        <v>1</v>
      </c>
      <c r="G53" s="548"/>
      <c r="H53" s="548">
        <f t="shared" si="0"/>
        <v>0</v>
      </c>
    </row>
    <row r="54" spans="2:8" ht="13">
      <c r="B54" s="282" t="s">
        <v>1421</v>
      </c>
      <c r="C54" s="138" t="s">
        <v>1144</v>
      </c>
      <c r="D54" s="138" t="s">
        <v>1223</v>
      </c>
      <c r="E54" s="138" t="s">
        <v>15</v>
      </c>
      <c r="F54" s="404">
        <v>22.87</v>
      </c>
      <c r="G54" s="548"/>
      <c r="H54" s="548">
        <f t="shared" ref="H54:H62" si="1">F54*G54</f>
        <v>0</v>
      </c>
    </row>
    <row r="55" spans="2:8" ht="26">
      <c r="B55" s="282" t="s">
        <v>1422</v>
      </c>
      <c r="C55" s="138" t="s">
        <v>1144</v>
      </c>
      <c r="D55" s="138" t="s">
        <v>1224</v>
      </c>
      <c r="E55" s="138" t="s">
        <v>15</v>
      </c>
      <c r="F55" s="404">
        <v>52.42</v>
      </c>
      <c r="G55" s="548"/>
      <c r="H55" s="548">
        <f t="shared" si="1"/>
        <v>0</v>
      </c>
    </row>
    <row r="56" spans="2:8" ht="26">
      <c r="B56" s="282" t="s">
        <v>1423</v>
      </c>
      <c r="C56" s="138" t="s">
        <v>1144</v>
      </c>
      <c r="D56" s="138" t="s">
        <v>1225</v>
      </c>
      <c r="E56" s="138" t="s">
        <v>15</v>
      </c>
      <c r="F56" s="404">
        <v>45.3</v>
      </c>
      <c r="G56" s="548"/>
      <c r="H56" s="548">
        <f t="shared" si="1"/>
        <v>0</v>
      </c>
    </row>
    <row r="57" spans="2:8" ht="13">
      <c r="B57" s="282" t="s">
        <v>1424</v>
      </c>
      <c r="C57" s="138" t="s">
        <v>1144</v>
      </c>
      <c r="D57" s="138" t="s">
        <v>1226</v>
      </c>
      <c r="E57" s="138" t="s">
        <v>15</v>
      </c>
      <c r="F57" s="404">
        <v>24.94</v>
      </c>
      <c r="G57" s="548"/>
      <c r="H57" s="548">
        <f t="shared" si="1"/>
        <v>0</v>
      </c>
    </row>
    <row r="58" spans="2:8" ht="13">
      <c r="B58" s="282" t="s">
        <v>1425</v>
      </c>
      <c r="C58" s="138" t="s">
        <v>1144</v>
      </c>
      <c r="D58" s="138" t="s">
        <v>1227</v>
      </c>
      <c r="E58" s="138" t="s">
        <v>15</v>
      </c>
      <c r="F58" s="404">
        <v>32.85</v>
      </c>
      <c r="G58" s="548"/>
      <c r="H58" s="548">
        <f t="shared" si="1"/>
        <v>0</v>
      </c>
    </row>
    <row r="59" spans="2:8" ht="13">
      <c r="B59" s="282" t="s">
        <v>1426</v>
      </c>
      <c r="C59" s="138" t="s">
        <v>1134</v>
      </c>
      <c r="D59" s="138" t="s">
        <v>1228</v>
      </c>
      <c r="E59" s="138" t="s">
        <v>7</v>
      </c>
      <c r="F59" s="404">
        <v>1</v>
      </c>
      <c r="G59" s="548"/>
      <c r="H59" s="548">
        <f t="shared" si="1"/>
        <v>0</v>
      </c>
    </row>
    <row r="60" spans="2:8" ht="26">
      <c r="B60" s="282" t="s">
        <v>1427</v>
      </c>
      <c r="C60" s="138" t="s">
        <v>1121</v>
      </c>
      <c r="D60" s="138" t="s">
        <v>1229</v>
      </c>
      <c r="E60" s="138" t="s">
        <v>7</v>
      </c>
      <c r="F60" s="404">
        <v>1</v>
      </c>
      <c r="G60" s="548"/>
      <c r="H60" s="548">
        <f t="shared" si="1"/>
        <v>0</v>
      </c>
    </row>
    <row r="61" spans="2:8" ht="26">
      <c r="B61" s="282" t="s">
        <v>1428</v>
      </c>
      <c r="D61" s="138" t="s">
        <v>1230</v>
      </c>
      <c r="E61" s="138" t="s">
        <v>15</v>
      </c>
      <c r="F61" s="404">
        <v>120.59</v>
      </c>
      <c r="G61" s="548"/>
      <c r="H61" s="548">
        <f t="shared" si="1"/>
        <v>0</v>
      </c>
    </row>
    <row r="62" spans="2:8" ht="13">
      <c r="B62" s="282" t="s">
        <v>1429</v>
      </c>
      <c r="D62" s="138" t="s">
        <v>1231</v>
      </c>
      <c r="E62" s="138" t="s">
        <v>7</v>
      </c>
      <c r="F62" s="404">
        <v>1</v>
      </c>
      <c r="G62" s="548"/>
      <c r="H62" s="548">
        <f t="shared" si="1"/>
        <v>0</v>
      </c>
    </row>
    <row r="63" spans="2:8" ht="169">
      <c r="B63" s="282" t="s">
        <v>1430</v>
      </c>
      <c r="C63" s="138" t="s">
        <v>1232</v>
      </c>
      <c r="D63" s="138" t="s">
        <v>1233</v>
      </c>
      <c r="E63" s="138" t="s">
        <v>7</v>
      </c>
      <c r="F63" s="404">
        <v>1</v>
      </c>
      <c r="G63" s="548"/>
      <c r="H63" s="548">
        <f>F63*G63</f>
        <v>0</v>
      </c>
    </row>
    <row r="64" spans="2:8" ht="78">
      <c r="B64" s="282" t="s">
        <v>1431</v>
      </c>
      <c r="C64" s="138" t="s">
        <v>1234</v>
      </c>
      <c r="D64" s="138" t="s">
        <v>1235</v>
      </c>
      <c r="E64" s="138" t="s">
        <v>7</v>
      </c>
      <c r="F64" s="404">
        <v>1</v>
      </c>
      <c r="G64" s="548"/>
      <c r="H64" s="548">
        <f>F64*G64</f>
        <v>0</v>
      </c>
    </row>
    <row r="65" spans="2:8" ht="13">
      <c r="B65" s="282" t="s">
        <v>1432</v>
      </c>
      <c r="D65" s="138" t="s">
        <v>1038</v>
      </c>
      <c r="E65" s="138" t="s">
        <v>7</v>
      </c>
      <c r="F65" s="404">
        <v>1</v>
      </c>
      <c r="G65" s="548"/>
      <c r="H65" s="548">
        <f>F65*G65</f>
        <v>0</v>
      </c>
    </row>
    <row r="66" spans="2:8" ht="16.75" customHeight="1">
      <c r="B66" s="282" t="s">
        <v>1433</v>
      </c>
      <c r="C66" s="699"/>
      <c r="D66" s="691" t="s">
        <v>2630</v>
      </c>
      <c r="E66" s="691" t="s">
        <v>48</v>
      </c>
      <c r="F66" s="700"/>
      <c r="G66" s="702"/>
      <c r="H66" s="703">
        <f>SUM(H68:H76)</f>
        <v>0</v>
      </c>
    </row>
    <row r="67" spans="2:8" ht="78">
      <c r="B67" s="282" t="s">
        <v>1434</v>
      </c>
      <c r="D67" s="138" t="s">
        <v>1207</v>
      </c>
      <c r="G67" s="548"/>
      <c r="H67" s="548"/>
    </row>
    <row r="68" spans="2:8" ht="221">
      <c r="B68" s="282" t="s">
        <v>1435</v>
      </c>
      <c r="C68" s="138" t="s">
        <v>1236</v>
      </c>
      <c r="D68" s="138" t="s">
        <v>1237</v>
      </c>
      <c r="E68" s="138" t="s">
        <v>7</v>
      </c>
      <c r="F68" s="404">
        <v>1</v>
      </c>
      <c r="G68" s="548"/>
      <c r="H68" s="548">
        <f>F68*G68</f>
        <v>0</v>
      </c>
    </row>
    <row r="69" spans="2:8" ht="195">
      <c r="B69" s="282" t="s">
        <v>1436</v>
      </c>
      <c r="C69" s="138" t="s">
        <v>1238</v>
      </c>
      <c r="D69" s="138" t="s">
        <v>1239</v>
      </c>
      <c r="E69" s="138" t="s">
        <v>7</v>
      </c>
      <c r="F69" s="404">
        <v>1</v>
      </c>
      <c r="G69" s="548"/>
      <c r="H69" s="548">
        <f t="shared" ref="H69:H76" si="2">F69*G69</f>
        <v>0</v>
      </c>
    </row>
    <row r="70" spans="2:8" ht="208">
      <c r="B70" s="282" t="s">
        <v>1437</v>
      </c>
      <c r="C70" s="138" t="s">
        <v>1240</v>
      </c>
      <c r="D70" s="138" t="s">
        <v>1241</v>
      </c>
      <c r="E70" s="138" t="s">
        <v>7</v>
      </c>
      <c r="F70" s="404">
        <v>1</v>
      </c>
      <c r="G70" s="548"/>
      <c r="H70" s="548">
        <f t="shared" si="2"/>
        <v>0</v>
      </c>
    </row>
    <row r="71" spans="2:8" ht="195">
      <c r="B71" s="282" t="s">
        <v>1438</v>
      </c>
      <c r="C71" s="138" t="s">
        <v>1242</v>
      </c>
      <c r="D71" s="138" t="s">
        <v>1243</v>
      </c>
      <c r="E71" s="138" t="s">
        <v>7</v>
      </c>
      <c r="F71" s="404">
        <v>1</v>
      </c>
      <c r="G71" s="548"/>
      <c r="H71" s="548">
        <f t="shared" si="2"/>
        <v>0</v>
      </c>
    </row>
    <row r="72" spans="2:8" ht="208">
      <c r="B72" s="282" t="s">
        <v>1439</v>
      </c>
      <c r="C72" s="138" t="s">
        <v>1244</v>
      </c>
      <c r="D72" s="138" t="s">
        <v>1245</v>
      </c>
      <c r="E72" s="138" t="s">
        <v>7</v>
      </c>
      <c r="F72" s="404">
        <v>1</v>
      </c>
      <c r="G72" s="548"/>
      <c r="H72" s="548">
        <f t="shared" si="2"/>
        <v>0</v>
      </c>
    </row>
    <row r="73" spans="2:8" ht="195">
      <c r="B73" s="282" t="s">
        <v>1440</v>
      </c>
      <c r="C73" s="138" t="s">
        <v>1246</v>
      </c>
      <c r="D73" s="138" t="s">
        <v>1247</v>
      </c>
      <c r="E73" s="138" t="s">
        <v>7</v>
      </c>
      <c r="F73" s="404">
        <v>1</v>
      </c>
      <c r="G73" s="548"/>
      <c r="H73" s="548">
        <f t="shared" si="2"/>
        <v>0</v>
      </c>
    </row>
    <row r="74" spans="2:8" ht="195">
      <c r="B74" s="282" t="s">
        <v>1441</v>
      </c>
      <c r="C74" s="138" t="s">
        <v>1248</v>
      </c>
      <c r="D74" s="138" t="s">
        <v>1249</v>
      </c>
      <c r="E74" s="138" t="s">
        <v>7</v>
      </c>
      <c r="F74" s="404">
        <v>1</v>
      </c>
      <c r="G74" s="548"/>
      <c r="H74" s="548">
        <f t="shared" si="2"/>
        <v>0</v>
      </c>
    </row>
    <row r="75" spans="2:8" ht="221">
      <c r="B75" s="282" t="s">
        <v>1442</v>
      </c>
      <c r="C75" s="138" t="s">
        <v>1250</v>
      </c>
      <c r="D75" s="138" t="s">
        <v>1251</v>
      </c>
      <c r="E75" s="138" t="s">
        <v>7</v>
      </c>
      <c r="F75" s="404">
        <v>1</v>
      </c>
      <c r="G75" s="548"/>
      <c r="H75" s="548">
        <f t="shared" si="2"/>
        <v>0</v>
      </c>
    </row>
    <row r="76" spans="2:8" ht="247">
      <c r="B76" s="282" t="s">
        <v>1443</v>
      </c>
      <c r="C76" s="138" t="s">
        <v>1252</v>
      </c>
      <c r="D76" s="138" t="s">
        <v>1253</v>
      </c>
      <c r="E76" s="138" t="s">
        <v>7</v>
      </c>
      <c r="F76" s="404">
        <v>1</v>
      </c>
      <c r="G76" s="548"/>
      <c r="H76" s="548">
        <f t="shared" si="2"/>
        <v>0</v>
      </c>
    </row>
    <row r="77" spans="2:8" ht="15.5" customHeight="1">
      <c r="B77" s="282" t="s">
        <v>1444</v>
      </c>
      <c r="C77" s="699"/>
      <c r="D77" s="691" t="s">
        <v>1254</v>
      </c>
      <c r="E77" s="691" t="s">
        <v>48</v>
      </c>
      <c r="F77" s="701"/>
      <c r="G77" s="703"/>
      <c r="H77" s="703">
        <f>SUM(H79:H93)</f>
        <v>0</v>
      </c>
    </row>
    <row r="78" spans="2:8" ht="65">
      <c r="B78" s="282" t="s">
        <v>1445</v>
      </c>
      <c r="D78" s="138" t="s">
        <v>1255</v>
      </c>
      <c r="G78" s="548"/>
      <c r="H78" s="548"/>
    </row>
    <row r="79" spans="2:8" ht="78">
      <c r="B79" s="282" t="s">
        <v>1446</v>
      </c>
      <c r="C79" s="138" t="s">
        <v>1256</v>
      </c>
      <c r="D79" s="138" t="s">
        <v>1257</v>
      </c>
      <c r="E79" s="138" t="s">
        <v>7</v>
      </c>
      <c r="F79" s="404">
        <v>8</v>
      </c>
      <c r="G79" s="548"/>
      <c r="H79" s="548">
        <f>F79*G79</f>
        <v>0</v>
      </c>
    </row>
    <row r="80" spans="2:8" ht="65">
      <c r="B80" s="282" t="s">
        <v>1447</v>
      </c>
      <c r="C80" s="138" t="s">
        <v>1258</v>
      </c>
      <c r="D80" s="138" t="s">
        <v>1259</v>
      </c>
      <c r="E80" s="138" t="s">
        <v>7</v>
      </c>
      <c r="F80" s="404">
        <v>2</v>
      </c>
      <c r="G80" s="548"/>
      <c r="H80" s="548">
        <f>F80*G80</f>
        <v>0</v>
      </c>
    </row>
    <row r="81" spans="2:8" ht="65">
      <c r="B81" s="282" t="s">
        <v>1448</v>
      </c>
      <c r="C81" s="138" t="s">
        <v>1260</v>
      </c>
      <c r="D81" s="138" t="s">
        <v>1261</v>
      </c>
      <c r="E81" s="138" t="s">
        <v>7</v>
      </c>
      <c r="F81" s="404">
        <v>1</v>
      </c>
      <c r="G81" s="548"/>
      <c r="H81" s="548">
        <f>F81*G81</f>
        <v>0</v>
      </c>
    </row>
    <row r="82" spans="2:8" ht="65">
      <c r="B82" s="282" t="s">
        <v>1449</v>
      </c>
      <c r="C82" s="138" t="s">
        <v>1262</v>
      </c>
      <c r="D82" s="138" t="s">
        <v>1263</v>
      </c>
      <c r="E82" s="138" t="s">
        <v>7</v>
      </c>
      <c r="F82" s="404">
        <v>1</v>
      </c>
      <c r="G82" s="548"/>
      <c r="H82" s="548">
        <f>F82*G82</f>
        <v>0</v>
      </c>
    </row>
    <row r="83" spans="2:8" ht="26">
      <c r="B83" s="282" t="s">
        <v>1450</v>
      </c>
      <c r="C83" s="138" t="s">
        <v>1264</v>
      </c>
      <c r="D83" s="138" t="s">
        <v>2580</v>
      </c>
      <c r="G83" s="548"/>
      <c r="H83" s="548"/>
    </row>
    <row r="84" spans="2:8" ht="156">
      <c r="B84" s="282" t="s">
        <v>1451</v>
      </c>
      <c r="D84" s="163" t="s">
        <v>2581</v>
      </c>
      <c r="E84" s="138" t="s">
        <v>7</v>
      </c>
      <c r="F84" s="404">
        <v>1</v>
      </c>
      <c r="G84" s="548"/>
      <c r="H84" s="548">
        <f t="shared" ref="H84:H93" si="3">F84*G84</f>
        <v>0</v>
      </c>
    </row>
    <row r="85" spans="2:8" ht="234">
      <c r="B85" s="282" t="s">
        <v>1452</v>
      </c>
      <c r="D85" s="138" t="s">
        <v>2582</v>
      </c>
      <c r="E85" s="138" t="s">
        <v>7</v>
      </c>
      <c r="F85" s="404">
        <v>1</v>
      </c>
      <c r="G85" s="548"/>
      <c r="H85" s="548">
        <f t="shared" si="3"/>
        <v>0</v>
      </c>
    </row>
    <row r="86" spans="2:8" ht="130">
      <c r="B86" s="282" t="s">
        <v>1453</v>
      </c>
      <c r="D86" s="138" t="s">
        <v>1265</v>
      </c>
      <c r="E86" s="138" t="s">
        <v>7</v>
      </c>
      <c r="F86" s="404">
        <v>1</v>
      </c>
      <c r="G86" s="548"/>
      <c r="H86" s="548">
        <f t="shared" si="3"/>
        <v>0</v>
      </c>
    </row>
    <row r="87" spans="2:8" ht="13">
      <c r="B87" s="282" t="s">
        <v>1454</v>
      </c>
      <c r="D87" s="144" t="s">
        <v>2583</v>
      </c>
      <c r="E87" s="138" t="s">
        <v>7</v>
      </c>
      <c r="F87" s="404">
        <v>1</v>
      </c>
      <c r="G87" s="548"/>
      <c r="H87" s="548">
        <f t="shared" si="3"/>
        <v>0</v>
      </c>
    </row>
    <row r="88" spans="2:8" ht="65">
      <c r="B88" s="282" t="s">
        <v>1455</v>
      </c>
      <c r="C88" s="138" t="s">
        <v>1266</v>
      </c>
      <c r="D88" s="138" t="s">
        <v>1267</v>
      </c>
      <c r="E88" s="138" t="s">
        <v>7</v>
      </c>
      <c r="F88" s="404">
        <v>1</v>
      </c>
      <c r="G88" s="548"/>
      <c r="H88" s="548">
        <f t="shared" si="3"/>
        <v>0</v>
      </c>
    </row>
    <row r="89" spans="2:8" ht="65">
      <c r="B89" s="282" t="s">
        <v>1456</v>
      </c>
      <c r="C89" s="138" t="s">
        <v>1268</v>
      </c>
      <c r="D89" s="138" t="s">
        <v>1269</v>
      </c>
      <c r="E89" s="138" t="s">
        <v>7</v>
      </c>
      <c r="F89" s="404">
        <v>1</v>
      </c>
      <c r="G89" s="548"/>
      <c r="H89" s="548">
        <f t="shared" si="3"/>
        <v>0</v>
      </c>
    </row>
    <row r="90" spans="2:8" ht="156">
      <c r="B90" s="282" t="s">
        <v>1457</v>
      </c>
      <c r="C90" s="138" t="s">
        <v>1270</v>
      </c>
      <c r="D90" s="138" t="s">
        <v>1271</v>
      </c>
      <c r="E90" s="138" t="s">
        <v>7</v>
      </c>
      <c r="F90" s="404">
        <v>1</v>
      </c>
      <c r="G90" s="548"/>
      <c r="H90" s="548">
        <f t="shared" si="3"/>
        <v>0</v>
      </c>
    </row>
    <row r="91" spans="2:8" ht="195">
      <c r="B91" s="282" t="s">
        <v>1458</v>
      </c>
      <c r="C91" s="138" t="s">
        <v>1272</v>
      </c>
      <c r="D91" s="138" t="s">
        <v>1273</v>
      </c>
      <c r="E91" s="138" t="s">
        <v>7</v>
      </c>
      <c r="F91" s="404">
        <v>1</v>
      </c>
      <c r="G91" s="548"/>
      <c r="H91" s="548">
        <f t="shared" si="3"/>
        <v>0</v>
      </c>
    </row>
    <row r="92" spans="2:8" ht="52">
      <c r="B92" s="282" t="s">
        <v>1459</v>
      </c>
      <c r="C92" s="138" t="s">
        <v>1274</v>
      </c>
      <c r="D92" s="138" t="s">
        <v>1275</v>
      </c>
      <c r="E92" s="138" t="s">
        <v>7</v>
      </c>
      <c r="F92" s="404">
        <v>1</v>
      </c>
      <c r="G92" s="548"/>
      <c r="H92" s="548">
        <f t="shared" si="3"/>
        <v>0</v>
      </c>
    </row>
    <row r="93" spans="2:8" ht="117">
      <c r="B93" s="282" t="s">
        <v>1460</v>
      </c>
      <c r="C93" s="138" t="s">
        <v>1276</v>
      </c>
      <c r="D93" s="138" t="s">
        <v>1277</v>
      </c>
      <c r="E93" s="138" t="s">
        <v>7</v>
      </c>
      <c r="F93" s="404">
        <v>1</v>
      </c>
      <c r="G93" s="548"/>
      <c r="H93" s="548">
        <f t="shared" si="3"/>
        <v>0</v>
      </c>
    </row>
    <row r="94" spans="2:8" ht="13">
      <c r="B94" s="282" t="s">
        <v>1461</v>
      </c>
      <c r="D94" s="144" t="s">
        <v>1278</v>
      </c>
      <c r="E94" s="138" t="s">
        <v>48</v>
      </c>
      <c r="G94" s="548"/>
      <c r="H94" s="424">
        <f>SUM(H96:H111)</f>
        <v>0</v>
      </c>
    </row>
    <row r="95" spans="2:8" ht="78">
      <c r="B95" s="282" t="s">
        <v>1462</v>
      </c>
      <c r="D95" s="138" t="s">
        <v>1279</v>
      </c>
      <c r="G95" s="548"/>
      <c r="H95" s="548"/>
    </row>
    <row r="96" spans="2:8" ht="169">
      <c r="B96" s="282" t="s">
        <v>1463</v>
      </c>
      <c r="C96" s="138" t="s">
        <v>1280</v>
      </c>
      <c r="D96" s="138" t="s">
        <v>1281</v>
      </c>
      <c r="E96" s="138" t="s">
        <v>7</v>
      </c>
      <c r="F96" s="404">
        <v>1</v>
      </c>
      <c r="G96" s="548"/>
      <c r="H96" s="548">
        <f t="shared" ref="H96:H101" si="4">F96*G96</f>
        <v>0</v>
      </c>
    </row>
    <row r="97" spans="2:8" ht="156">
      <c r="B97" s="282" t="s">
        <v>1464</v>
      </c>
      <c r="C97" s="138" t="s">
        <v>1282</v>
      </c>
      <c r="D97" s="138" t="s">
        <v>1283</v>
      </c>
      <c r="E97" s="138" t="s">
        <v>7</v>
      </c>
      <c r="F97" s="404">
        <v>1</v>
      </c>
      <c r="G97" s="548"/>
      <c r="H97" s="548">
        <f t="shared" si="4"/>
        <v>0</v>
      </c>
    </row>
    <row r="98" spans="2:8" ht="117">
      <c r="B98" s="282" t="s">
        <v>1465</v>
      </c>
      <c r="C98" s="138" t="s">
        <v>1284</v>
      </c>
      <c r="D98" s="138" t="s">
        <v>1285</v>
      </c>
      <c r="E98" s="138" t="s">
        <v>7</v>
      </c>
      <c r="F98" s="404">
        <v>1</v>
      </c>
      <c r="G98" s="548"/>
      <c r="H98" s="548">
        <f t="shared" si="4"/>
        <v>0</v>
      </c>
    </row>
    <row r="99" spans="2:8" ht="156">
      <c r="B99" s="282" t="s">
        <v>1466</v>
      </c>
      <c r="C99" s="138" t="s">
        <v>1286</v>
      </c>
      <c r="D99" s="138" t="s">
        <v>1287</v>
      </c>
      <c r="E99" s="138" t="s">
        <v>7</v>
      </c>
      <c r="F99" s="404">
        <v>1</v>
      </c>
      <c r="G99" s="548"/>
      <c r="H99" s="548">
        <f t="shared" si="4"/>
        <v>0</v>
      </c>
    </row>
    <row r="100" spans="2:8" ht="143">
      <c r="B100" s="282" t="s">
        <v>1467</v>
      </c>
      <c r="C100" s="138" t="s">
        <v>1288</v>
      </c>
      <c r="D100" s="138" t="s">
        <v>1289</v>
      </c>
      <c r="E100" s="138" t="s">
        <v>7</v>
      </c>
      <c r="F100" s="404">
        <v>1</v>
      </c>
      <c r="G100" s="548"/>
      <c r="H100" s="548">
        <f t="shared" si="4"/>
        <v>0</v>
      </c>
    </row>
    <row r="101" spans="2:8" ht="255.5" customHeight="1">
      <c r="B101" s="282" t="s">
        <v>1468</v>
      </c>
      <c r="C101" s="138" t="s">
        <v>1290</v>
      </c>
      <c r="D101" s="138" t="s">
        <v>1291</v>
      </c>
      <c r="E101" s="138" t="s">
        <v>7</v>
      </c>
      <c r="F101" s="404">
        <v>1</v>
      </c>
      <c r="G101" s="548"/>
      <c r="H101" s="548">
        <f t="shared" si="4"/>
        <v>0</v>
      </c>
    </row>
    <row r="102" spans="2:8" ht="78">
      <c r="B102" s="282" t="s">
        <v>1469</v>
      </c>
      <c r="D102" s="138" t="s">
        <v>1292</v>
      </c>
      <c r="G102" s="548"/>
      <c r="H102" s="548"/>
    </row>
    <row r="103" spans="2:8" ht="91">
      <c r="B103" s="282" t="s">
        <v>1470</v>
      </c>
      <c r="C103" s="138" t="s">
        <v>1293</v>
      </c>
      <c r="D103" s="138" t="s">
        <v>1294</v>
      </c>
      <c r="E103" s="138" t="s">
        <v>7</v>
      </c>
      <c r="F103" s="404">
        <v>1</v>
      </c>
      <c r="G103" s="548"/>
      <c r="H103" s="548">
        <f t="shared" ref="H103:H111" si="5">F103*G103</f>
        <v>0</v>
      </c>
    </row>
    <row r="104" spans="2:8" ht="130">
      <c r="B104" s="282" t="s">
        <v>1471</v>
      </c>
      <c r="C104" s="138" t="s">
        <v>1295</v>
      </c>
      <c r="D104" s="138" t="s">
        <v>1296</v>
      </c>
      <c r="E104" s="138" t="s">
        <v>7</v>
      </c>
      <c r="F104" s="404">
        <v>1</v>
      </c>
      <c r="G104" s="548"/>
      <c r="H104" s="548">
        <f t="shared" si="5"/>
        <v>0</v>
      </c>
    </row>
    <row r="105" spans="2:8" ht="143">
      <c r="B105" s="282" t="s">
        <v>1472</v>
      </c>
      <c r="C105" s="138" t="s">
        <v>1297</v>
      </c>
      <c r="D105" s="138" t="s">
        <v>1298</v>
      </c>
      <c r="E105" s="138" t="s">
        <v>7</v>
      </c>
      <c r="F105" s="404">
        <v>1</v>
      </c>
      <c r="G105" s="548"/>
      <c r="H105" s="548">
        <f t="shared" si="5"/>
        <v>0</v>
      </c>
    </row>
    <row r="106" spans="2:8" ht="169">
      <c r="B106" s="282" t="s">
        <v>1473</v>
      </c>
      <c r="C106" s="138" t="s">
        <v>1299</v>
      </c>
      <c r="D106" s="138" t="s">
        <v>1300</v>
      </c>
      <c r="E106" s="138" t="s">
        <v>7</v>
      </c>
      <c r="F106" s="404">
        <v>1</v>
      </c>
      <c r="G106" s="548"/>
      <c r="H106" s="548">
        <f t="shared" si="5"/>
        <v>0</v>
      </c>
    </row>
    <row r="107" spans="2:8" ht="169">
      <c r="B107" s="282" t="s">
        <v>1474</v>
      </c>
      <c r="C107" s="138" t="s">
        <v>1301</v>
      </c>
      <c r="D107" s="138" t="s">
        <v>1302</v>
      </c>
      <c r="E107" s="138" t="s">
        <v>7</v>
      </c>
      <c r="F107" s="404">
        <v>1</v>
      </c>
      <c r="G107" s="548"/>
      <c r="H107" s="548">
        <f t="shared" si="5"/>
        <v>0</v>
      </c>
    </row>
    <row r="108" spans="2:8" ht="104">
      <c r="B108" s="282" t="s">
        <v>1475</v>
      </c>
      <c r="C108" s="138" t="s">
        <v>1303</v>
      </c>
      <c r="D108" s="138" t="s">
        <v>1304</v>
      </c>
      <c r="E108" s="138" t="s">
        <v>7</v>
      </c>
      <c r="F108" s="404">
        <v>1</v>
      </c>
      <c r="G108" s="548"/>
      <c r="H108" s="548">
        <f t="shared" si="5"/>
        <v>0</v>
      </c>
    </row>
    <row r="109" spans="2:8" ht="65">
      <c r="B109" s="282" t="s">
        <v>1476</v>
      </c>
      <c r="C109" s="138" t="s">
        <v>1305</v>
      </c>
      <c r="D109" s="138" t="s">
        <v>2584</v>
      </c>
      <c r="E109" s="138" t="s">
        <v>7</v>
      </c>
      <c r="F109" s="404">
        <v>1</v>
      </c>
      <c r="G109" s="548"/>
      <c r="H109" s="548">
        <f t="shared" si="5"/>
        <v>0</v>
      </c>
    </row>
    <row r="110" spans="2:8" ht="78">
      <c r="B110" s="282" t="s">
        <v>1477</v>
      </c>
      <c r="C110" s="138" t="s">
        <v>1306</v>
      </c>
      <c r="D110" s="138" t="s">
        <v>1307</v>
      </c>
      <c r="E110" s="138" t="s">
        <v>7</v>
      </c>
      <c r="F110" s="404">
        <v>1</v>
      </c>
      <c r="G110" s="548"/>
      <c r="H110" s="548">
        <f t="shared" si="5"/>
        <v>0</v>
      </c>
    </row>
    <row r="111" spans="2:8" ht="13">
      <c r="B111" s="282" t="s">
        <v>1478</v>
      </c>
      <c r="D111" s="138" t="s">
        <v>1308</v>
      </c>
      <c r="E111" s="138" t="s">
        <v>7</v>
      </c>
      <c r="F111" s="404">
        <v>1</v>
      </c>
      <c r="G111" s="548"/>
      <c r="H111" s="548">
        <f t="shared" si="5"/>
        <v>0</v>
      </c>
    </row>
    <row r="112" spans="2:8" ht="15" customHeight="1">
      <c r="B112" s="282" t="s">
        <v>1479</v>
      </c>
      <c r="C112" s="699"/>
      <c r="D112" s="691" t="s">
        <v>1309</v>
      </c>
      <c r="E112" s="691" t="s">
        <v>48</v>
      </c>
      <c r="F112" s="700"/>
      <c r="G112" s="702"/>
      <c r="H112" s="703">
        <f>SUM(H114:H129)</f>
        <v>0</v>
      </c>
    </row>
    <row r="113" spans="2:8" ht="117">
      <c r="B113" s="282" t="s">
        <v>1480</v>
      </c>
      <c r="D113" s="138" t="s">
        <v>2585</v>
      </c>
      <c r="G113" s="548"/>
      <c r="H113" s="548"/>
    </row>
    <row r="114" spans="2:8" ht="26">
      <c r="B114" s="282" t="s">
        <v>1481</v>
      </c>
      <c r="C114" s="138" t="s">
        <v>1310</v>
      </c>
      <c r="D114" s="138" t="s">
        <v>1311</v>
      </c>
      <c r="E114" s="138" t="s">
        <v>7</v>
      </c>
      <c r="F114" s="404">
        <v>6</v>
      </c>
      <c r="G114" s="548"/>
      <c r="H114" s="548">
        <f>F114*G114</f>
        <v>0</v>
      </c>
    </row>
    <row r="115" spans="2:8" ht="26">
      <c r="B115" s="282" t="s">
        <v>1482</v>
      </c>
      <c r="C115" s="138" t="s">
        <v>1312</v>
      </c>
      <c r="D115" s="138" t="s">
        <v>1313</v>
      </c>
      <c r="E115" s="138" t="s">
        <v>7</v>
      </c>
      <c r="F115" s="404">
        <v>3</v>
      </c>
      <c r="G115" s="548"/>
      <c r="H115" s="548">
        <f>F115*G115</f>
        <v>0</v>
      </c>
    </row>
    <row r="116" spans="2:8" ht="26">
      <c r="B116" s="282" t="s">
        <v>1483</v>
      </c>
      <c r="C116" s="138" t="s">
        <v>1314</v>
      </c>
      <c r="D116" s="138" t="s">
        <v>1315</v>
      </c>
      <c r="E116" s="138" t="s">
        <v>7</v>
      </c>
      <c r="F116" s="404">
        <v>1</v>
      </c>
      <c r="G116" s="548"/>
      <c r="H116" s="548">
        <f>F116*G116</f>
        <v>0</v>
      </c>
    </row>
    <row r="117" spans="2:8" ht="26">
      <c r="B117" s="282" t="s">
        <v>1484</v>
      </c>
      <c r="C117" s="138" t="s">
        <v>1316</v>
      </c>
      <c r="D117" s="138" t="s">
        <v>1317</v>
      </c>
      <c r="E117" s="138" t="s">
        <v>7</v>
      </c>
      <c r="F117" s="404">
        <v>1</v>
      </c>
      <c r="G117" s="548"/>
      <c r="H117" s="548">
        <f>F117*G117</f>
        <v>0</v>
      </c>
    </row>
    <row r="118" spans="2:8" ht="26">
      <c r="B118" s="282" t="s">
        <v>1485</v>
      </c>
      <c r="C118" s="138" t="s">
        <v>1318</v>
      </c>
      <c r="D118" s="138" t="s">
        <v>1319</v>
      </c>
      <c r="E118" s="138" t="s">
        <v>7</v>
      </c>
      <c r="F118" s="404">
        <v>1</v>
      </c>
      <c r="G118" s="548"/>
      <c r="H118" s="548">
        <f>F118*G118</f>
        <v>0</v>
      </c>
    </row>
    <row r="119" spans="2:8" ht="26">
      <c r="B119" s="282" t="s">
        <v>1486</v>
      </c>
      <c r="C119" s="138" t="s">
        <v>1320</v>
      </c>
      <c r="D119" s="138" t="s">
        <v>1321</v>
      </c>
      <c r="E119" s="138" t="s">
        <v>7</v>
      </c>
      <c r="F119" s="404">
        <v>1</v>
      </c>
      <c r="G119" s="548"/>
      <c r="H119" s="548">
        <f t="shared" ref="H119:H124" si="6">F119*G119</f>
        <v>0</v>
      </c>
    </row>
    <row r="120" spans="2:8" ht="26">
      <c r="B120" s="282" t="s">
        <v>1487</v>
      </c>
      <c r="C120" s="138" t="s">
        <v>1322</v>
      </c>
      <c r="D120" s="138" t="s">
        <v>1323</v>
      </c>
      <c r="E120" s="138" t="s">
        <v>7</v>
      </c>
      <c r="F120" s="404">
        <v>1</v>
      </c>
      <c r="G120" s="548"/>
      <c r="H120" s="548">
        <f t="shared" si="6"/>
        <v>0</v>
      </c>
    </row>
    <row r="121" spans="2:8" ht="26">
      <c r="B121" s="282" t="s">
        <v>1488</v>
      </c>
      <c r="C121" s="138" t="s">
        <v>1324</v>
      </c>
      <c r="D121" s="138" t="s">
        <v>1325</v>
      </c>
      <c r="E121" s="138" t="s">
        <v>7</v>
      </c>
      <c r="F121" s="404">
        <v>2</v>
      </c>
      <c r="G121" s="548"/>
      <c r="H121" s="548">
        <f t="shared" si="6"/>
        <v>0</v>
      </c>
    </row>
    <row r="122" spans="2:8" ht="26">
      <c r="B122" s="282" t="s">
        <v>1489</v>
      </c>
      <c r="C122" s="138" t="s">
        <v>1326</v>
      </c>
      <c r="D122" s="138" t="s">
        <v>1327</v>
      </c>
      <c r="E122" s="138" t="s">
        <v>7</v>
      </c>
      <c r="F122" s="404">
        <v>1</v>
      </c>
      <c r="G122" s="548"/>
      <c r="H122" s="548">
        <f t="shared" si="6"/>
        <v>0</v>
      </c>
    </row>
    <row r="123" spans="2:8" ht="26">
      <c r="B123" s="282" t="s">
        <v>1490</v>
      </c>
      <c r="C123" s="138" t="s">
        <v>1328</v>
      </c>
      <c r="D123" s="138" t="s">
        <v>1329</v>
      </c>
      <c r="E123" s="138" t="s">
        <v>7</v>
      </c>
      <c r="F123" s="404">
        <v>1</v>
      </c>
      <c r="G123" s="548"/>
      <c r="H123" s="548">
        <f t="shared" si="6"/>
        <v>0</v>
      </c>
    </row>
    <row r="124" spans="2:8" ht="39">
      <c r="B124" s="282" t="s">
        <v>1491</v>
      </c>
      <c r="C124" s="138" t="s">
        <v>1330</v>
      </c>
      <c r="D124" s="138" t="s">
        <v>1331</v>
      </c>
      <c r="E124" s="138" t="s">
        <v>7</v>
      </c>
      <c r="F124" s="404">
        <v>1</v>
      </c>
      <c r="G124" s="548"/>
      <c r="H124" s="548">
        <f t="shared" si="6"/>
        <v>0</v>
      </c>
    </row>
    <row r="125" spans="2:8" ht="156">
      <c r="B125" s="282" t="s">
        <v>1492</v>
      </c>
      <c r="C125" s="138" t="s">
        <v>1332</v>
      </c>
      <c r="D125" s="138" t="s">
        <v>2586</v>
      </c>
      <c r="E125" s="138" t="s">
        <v>4</v>
      </c>
      <c r="F125" s="406">
        <v>214.6</v>
      </c>
      <c r="G125" s="548"/>
      <c r="H125" s="548">
        <f>F125*G125</f>
        <v>0</v>
      </c>
    </row>
    <row r="126" spans="2:8" ht="65">
      <c r="B126" s="282" t="s">
        <v>1493</v>
      </c>
      <c r="C126" s="138" t="s">
        <v>1333</v>
      </c>
      <c r="D126" s="138" t="s">
        <v>1334</v>
      </c>
      <c r="E126" s="138" t="s">
        <v>4</v>
      </c>
      <c r="F126" s="404">
        <f>1.2+2.1+(10.03*0.1)+2.2+2.2</f>
        <v>8.7029999999999994</v>
      </c>
      <c r="G126" s="548"/>
      <c r="H126" s="548">
        <f>F126*G126</f>
        <v>0</v>
      </c>
    </row>
    <row r="127" spans="2:8" ht="39">
      <c r="B127" s="282" t="s">
        <v>1494</v>
      </c>
      <c r="C127" s="138" t="s">
        <v>1335</v>
      </c>
      <c r="D127" s="138" t="s">
        <v>1336</v>
      </c>
      <c r="E127" s="138" t="s">
        <v>7</v>
      </c>
      <c r="F127" s="404">
        <v>1</v>
      </c>
      <c r="G127" s="548"/>
      <c r="H127" s="548">
        <f>F127*G127</f>
        <v>0</v>
      </c>
    </row>
    <row r="128" spans="2:8" ht="91">
      <c r="B128" s="282" t="s">
        <v>1495</v>
      </c>
      <c r="C128" s="138" t="s">
        <v>1337</v>
      </c>
      <c r="D128" s="138" t="s">
        <v>1338</v>
      </c>
      <c r="E128" s="138" t="s">
        <v>7</v>
      </c>
      <c r="F128" s="404">
        <v>1</v>
      </c>
      <c r="G128" s="548"/>
      <c r="H128" s="548">
        <f>F128*G128</f>
        <v>0</v>
      </c>
    </row>
    <row r="129" spans="2:8" ht="26">
      <c r="B129" s="282" t="s">
        <v>1496</v>
      </c>
      <c r="C129" s="138" t="s">
        <v>1339</v>
      </c>
      <c r="D129" s="138" t="s">
        <v>1340</v>
      </c>
      <c r="E129" s="138" t="s">
        <v>2</v>
      </c>
      <c r="F129" s="404">
        <f>(3.4+0.7)</f>
        <v>4.0999999999999996</v>
      </c>
      <c r="G129" s="548"/>
      <c r="H129" s="548">
        <f>F129*G129</f>
        <v>0</v>
      </c>
    </row>
    <row r="130" spans="2:8" ht="13">
      <c r="B130" s="282" t="s">
        <v>1497</v>
      </c>
      <c r="C130" s="699"/>
      <c r="D130" s="691" t="s">
        <v>1341</v>
      </c>
      <c r="E130" s="691" t="s">
        <v>48</v>
      </c>
      <c r="F130" s="700"/>
      <c r="G130" s="702"/>
      <c r="H130" s="703">
        <f>SUM(H133:H170)</f>
        <v>0</v>
      </c>
    </row>
    <row r="131" spans="2:8" ht="13">
      <c r="B131" s="282" t="s">
        <v>1498</v>
      </c>
      <c r="D131" s="144" t="s">
        <v>1342</v>
      </c>
      <c r="G131" s="548"/>
      <c r="H131" s="548"/>
    </row>
    <row r="132" spans="2:8" ht="13">
      <c r="B132" s="282" t="s">
        <v>1499</v>
      </c>
      <c r="D132" s="138" t="s">
        <v>1343</v>
      </c>
      <c r="G132" s="548"/>
      <c r="H132" s="548"/>
    </row>
    <row r="133" spans="2:8" ht="52">
      <c r="B133" s="282" t="s">
        <v>1500</v>
      </c>
      <c r="D133" s="138" t="s">
        <v>2587</v>
      </c>
      <c r="G133" s="548"/>
      <c r="H133" s="548"/>
    </row>
    <row r="134" spans="2:8" ht="13">
      <c r="B134" s="282" t="s">
        <v>1501</v>
      </c>
      <c r="D134" s="138" t="s">
        <v>1344</v>
      </c>
      <c r="G134" s="548"/>
      <c r="H134" s="548"/>
    </row>
    <row r="135" spans="2:8" ht="26">
      <c r="B135" s="282" t="s">
        <v>1502</v>
      </c>
      <c r="D135" s="138" t="s">
        <v>2588</v>
      </c>
      <c r="G135" s="548"/>
      <c r="H135" s="548"/>
    </row>
    <row r="136" spans="2:8" ht="156">
      <c r="B136" s="282" t="s">
        <v>1503</v>
      </c>
      <c r="D136" s="144" t="s">
        <v>2589</v>
      </c>
      <c r="E136" s="138" t="s">
        <v>7</v>
      </c>
      <c r="F136" s="404">
        <v>1</v>
      </c>
      <c r="G136" s="548"/>
      <c r="H136" s="548">
        <f>F136*G136</f>
        <v>0</v>
      </c>
    </row>
    <row r="137" spans="2:8" ht="52">
      <c r="B137" s="282" t="s">
        <v>1504</v>
      </c>
      <c r="D137" s="144" t="s">
        <v>2590</v>
      </c>
      <c r="E137" s="138" t="s">
        <v>7</v>
      </c>
      <c r="F137" s="404">
        <v>1</v>
      </c>
      <c r="G137" s="548"/>
      <c r="H137" s="548">
        <f>F137*G137</f>
        <v>0</v>
      </c>
    </row>
    <row r="138" spans="2:8" ht="26">
      <c r="B138" s="282" t="s">
        <v>1505</v>
      </c>
      <c r="D138" s="144" t="s">
        <v>2591</v>
      </c>
      <c r="E138" s="138" t="s">
        <v>7</v>
      </c>
      <c r="F138" s="404">
        <v>2</v>
      </c>
      <c r="G138" s="548"/>
      <c r="H138" s="548">
        <f>F138*G138</f>
        <v>0</v>
      </c>
    </row>
    <row r="139" spans="2:8" ht="182">
      <c r="B139" s="282" t="s">
        <v>1506</v>
      </c>
      <c r="D139" s="138" t="s">
        <v>2592</v>
      </c>
      <c r="E139" s="138" t="s">
        <v>7</v>
      </c>
      <c r="F139" s="404">
        <v>2</v>
      </c>
      <c r="G139" s="548"/>
      <c r="H139" s="548">
        <f>F139*G139</f>
        <v>0</v>
      </c>
    </row>
    <row r="140" spans="2:8" ht="26">
      <c r="B140" s="282" t="s">
        <v>1507</v>
      </c>
      <c r="D140" s="144" t="s">
        <v>2593</v>
      </c>
      <c r="E140" s="138" t="s">
        <v>7</v>
      </c>
      <c r="F140" s="404">
        <v>1</v>
      </c>
      <c r="G140" s="548"/>
      <c r="H140" s="548">
        <f>F140*G140</f>
        <v>0</v>
      </c>
    </row>
    <row r="141" spans="2:8" ht="13">
      <c r="B141" s="282" t="s">
        <v>1508</v>
      </c>
      <c r="D141" s="138" t="s">
        <v>1345</v>
      </c>
      <c r="G141" s="548"/>
      <c r="H141" s="548"/>
    </row>
    <row r="142" spans="2:8" ht="13">
      <c r="B142" s="282" t="s">
        <v>1509</v>
      </c>
      <c r="D142" s="144" t="s">
        <v>2594</v>
      </c>
      <c r="E142" s="138" t="s">
        <v>7</v>
      </c>
      <c r="F142" s="404">
        <v>1</v>
      </c>
      <c r="G142" s="548"/>
      <c r="H142" s="548">
        <f>F142*G142</f>
        <v>0</v>
      </c>
    </row>
    <row r="143" spans="2:8" ht="13">
      <c r="B143" s="282" t="s">
        <v>1510</v>
      </c>
      <c r="D143" s="138" t="s">
        <v>1345</v>
      </c>
      <c r="G143" s="548"/>
      <c r="H143" s="548"/>
    </row>
    <row r="144" spans="2:8" ht="13">
      <c r="B144" s="282" t="s">
        <v>1511</v>
      </c>
      <c r="D144" s="144" t="s">
        <v>2595</v>
      </c>
      <c r="E144" s="138" t="s">
        <v>7</v>
      </c>
      <c r="F144" s="404">
        <v>1</v>
      </c>
      <c r="G144" s="548"/>
      <c r="H144" s="548">
        <f>F144*G144</f>
        <v>0</v>
      </c>
    </row>
    <row r="145" spans="2:8" ht="13">
      <c r="B145" s="282" t="s">
        <v>1512</v>
      </c>
      <c r="D145" s="138" t="s">
        <v>1345</v>
      </c>
      <c r="G145" s="548"/>
      <c r="H145" s="548"/>
    </row>
    <row r="146" spans="2:8" ht="13">
      <c r="B146" s="282" t="s">
        <v>1513</v>
      </c>
      <c r="D146" s="144" t="s">
        <v>2596</v>
      </c>
      <c r="E146" s="138" t="s">
        <v>7</v>
      </c>
      <c r="F146" s="404">
        <v>1</v>
      </c>
      <c r="G146" s="548"/>
      <c r="H146" s="548">
        <f>F146*G146</f>
        <v>0</v>
      </c>
    </row>
    <row r="147" spans="2:8" ht="13">
      <c r="B147" s="282" t="s">
        <v>1514</v>
      </c>
      <c r="D147" s="138" t="s">
        <v>1345</v>
      </c>
      <c r="G147" s="548"/>
      <c r="H147" s="548"/>
    </row>
    <row r="148" spans="2:8" ht="13">
      <c r="B148" s="282" t="s">
        <v>1515</v>
      </c>
      <c r="D148" s="144" t="s">
        <v>2597</v>
      </c>
      <c r="E148" s="138" t="s">
        <v>7</v>
      </c>
      <c r="F148" s="404">
        <v>4</v>
      </c>
      <c r="G148" s="548"/>
      <c r="H148" s="548">
        <f>F148*G148</f>
        <v>0</v>
      </c>
    </row>
    <row r="149" spans="2:8" ht="13">
      <c r="B149" s="282" t="s">
        <v>1516</v>
      </c>
      <c r="D149" s="138" t="s">
        <v>1346</v>
      </c>
      <c r="G149" s="548"/>
      <c r="H149" s="548"/>
    </row>
    <row r="150" spans="2:8" ht="26">
      <c r="B150" s="282" t="s">
        <v>1517</v>
      </c>
      <c r="D150" s="144" t="s">
        <v>2598</v>
      </c>
      <c r="E150" s="138" t="s">
        <v>7</v>
      </c>
      <c r="F150" s="404">
        <v>2</v>
      </c>
      <c r="G150" s="548"/>
      <c r="H150" s="548">
        <f>F150*G150</f>
        <v>0</v>
      </c>
    </row>
    <row r="151" spans="2:8" ht="13">
      <c r="B151" s="282" t="s">
        <v>1518</v>
      </c>
      <c r="D151" s="138" t="s">
        <v>1347</v>
      </c>
      <c r="G151" s="548"/>
      <c r="H151" s="548"/>
    </row>
    <row r="152" spans="2:8" ht="296">
      <c r="B152" s="282" t="s">
        <v>1519</v>
      </c>
      <c r="D152" s="144" t="s">
        <v>2599</v>
      </c>
      <c r="E152" s="138" t="s">
        <v>7</v>
      </c>
      <c r="F152" s="404">
        <v>2</v>
      </c>
      <c r="G152" s="548"/>
      <c r="H152" s="548">
        <f>F152*G152</f>
        <v>0</v>
      </c>
    </row>
    <row r="153" spans="2:8" ht="52">
      <c r="B153" s="282" t="s">
        <v>1520</v>
      </c>
      <c r="D153" s="144" t="s">
        <v>2600</v>
      </c>
      <c r="E153" s="138" t="s">
        <v>7</v>
      </c>
      <c r="F153" s="404">
        <v>2</v>
      </c>
      <c r="G153" s="548"/>
      <c r="H153" s="736">
        <f>F153*G153</f>
        <v>0</v>
      </c>
    </row>
    <row r="154" spans="2:8" ht="13">
      <c r="B154" s="282" t="s">
        <v>1521</v>
      </c>
      <c r="D154" s="138" t="s">
        <v>1347</v>
      </c>
      <c r="G154" s="548"/>
      <c r="H154" s="548"/>
    </row>
    <row r="155" spans="2:8" ht="13">
      <c r="B155" s="282" t="s">
        <v>1522</v>
      </c>
      <c r="D155" s="144" t="s">
        <v>2601</v>
      </c>
      <c r="E155" s="138" t="s">
        <v>7</v>
      </c>
      <c r="F155" s="404">
        <v>2</v>
      </c>
      <c r="G155" s="548"/>
      <c r="H155" s="548">
        <f>F155*G155</f>
        <v>0</v>
      </c>
    </row>
    <row r="156" spans="2:8" ht="13">
      <c r="B156" s="282" t="s">
        <v>1523</v>
      </c>
      <c r="D156" s="138" t="s">
        <v>1347</v>
      </c>
      <c r="G156" s="548"/>
      <c r="H156" s="548"/>
    </row>
    <row r="157" spans="2:8" ht="169">
      <c r="B157" s="282" t="s">
        <v>1524</v>
      </c>
      <c r="D157" s="144" t="s">
        <v>2602</v>
      </c>
      <c r="E157" s="138" t="s">
        <v>7</v>
      </c>
      <c r="F157" s="404">
        <v>1</v>
      </c>
      <c r="G157" s="548"/>
      <c r="H157" s="548">
        <f>F157*G157</f>
        <v>0</v>
      </c>
    </row>
    <row r="158" spans="2:8" ht="91">
      <c r="B158" s="282" t="s">
        <v>1525</v>
      </c>
      <c r="D158" s="144" t="s">
        <v>2603</v>
      </c>
      <c r="E158" s="138" t="s">
        <v>7</v>
      </c>
      <c r="F158" s="404">
        <v>1</v>
      </c>
      <c r="G158" s="548"/>
      <c r="H158" s="548">
        <f>F158*G158</f>
        <v>0</v>
      </c>
    </row>
    <row r="159" spans="2:8" ht="13">
      <c r="B159" s="282" t="s">
        <v>1526</v>
      </c>
      <c r="D159" s="431" t="s">
        <v>1348</v>
      </c>
      <c r="E159" s="138" t="s">
        <v>7</v>
      </c>
      <c r="F159" s="404">
        <v>2</v>
      </c>
      <c r="G159" s="548"/>
      <c r="H159" s="548">
        <f>F159*G159</f>
        <v>0</v>
      </c>
    </row>
    <row r="160" spans="2:8" ht="65">
      <c r="B160" s="282" t="s">
        <v>1527</v>
      </c>
      <c r="D160" s="144" t="s">
        <v>2604</v>
      </c>
      <c r="E160" s="138" t="s">
        <v>7</v>
      </c>
      <c r="F160" s="404">
        <v>2</v>
      </c>
      <c r="G160" s="548"/>
      <c r="H160" s="548">
        <f>F160*G160</f>
        <v>0</v>
      </c>
    </row>
    <row r="161" spans="2:9" ht="78">
      <c r="B161" s="282" t="s">
        <v>1528</v>
      </c>
      <c r="D161" s="144" t="s">
        <v>2605</v>
      </c>
      <c r="E161" s="138" t="s">
        <v>7</v>
      </c>
      <c r="F161" s="404">
        <v>2</v>
      </c>
      <c r="G161" s="548"/>
      <c r="H161" s="548">
        <f>F161*G161</f>
        <v>0</v>
      </c>
    </row>
    <row r="162" spans="2:9" ht="13">
      <c r="B162" s="282" t="s">
        <v>1529</v>
      </c>
      <c r="D162" s="138" t="s">
        <v>1349</v>
      </c>
      <c r="G162" s="548"/>
      <c r="H162" s="548"/>
    </row>
    <row r="163" spans="2:9" ht="13">
      <c r="B163" s="282" t="s">
        <v>1530</v>
      </c>
      <c r="D163" s="144" t="s">
        <v>1350</v>
      </c>
      <c r="G163" s="548"/>
      <c r="H163" s="548"/>
    </row>
    <row r="164" spans="2:9" ht="39">
      <c r="B164" s="282" t="s">
        <v>1531</v>
      </c>
      <c r="D164" s="138" t="s">
        <v>2606</v>
      </c>
      <c r="G164" s="548"/>
      <c r="H164" s="548"/>
    </row>
    <row r="165" spans="2:9" ht="13">
      <c r="B165" s="282" t="s">
        <v>1532</v>
      </c>
      <c r="D165" s="138" t="s">
        <v>1351</v>
      </c>
      <c r="E165" s="138" t="s">
        <v>7</v>
      </c>
      <c r="F165" s="404">
        <v>12</v>
      </c>
      <c r="G165" s="548"/>
      <c r="H165" s="548">
        <f>F165*G165</f>
        <v>0</v>
      </c>
    </row>
    <row r="166" spans="2:9" ht="13">
      <c r="B166" s="282" t="s">
        <v>1533</v>
      </c>
      <c r="D166" s="138" t="s">
        <v>1352</v>
      </c>
      <c r="E166" s="138" t="s">
        <v>7</v>
      </c>
      <c r="F166" s="404">
        <v>16</v>
      </c>
      <c r="G166" s="548"/>
      <c r="H166" s="548">
        <f>F166*G166</f>
        <v>0</v>
      </c>
    </row>
    <row r="167" spans="2:9" s="144" customFormat="1" ht="14">
      <c r="B167" s="282" t="s">
        <v>1534</v>
      </c>
      <c r="C167" s="649"/>
      <c r="D167" s="650" t="s">
        <v>2672</v>
      </c>
      <c r="E167" s="651"/>
      <c r="F167" s="652"/>
      <c r="G167" s="653"/>
      <c r="H167" s="654"/>
      <c r="I167" s="138"/>
    </row>
    <row r="168" spans="2:9" ht="13">
      <c r="B168" s="282" t="s">
        <v>1535</v>
      </c>
      <c r="C168" s="509"/>
      <c r="D168" s="269" t="s">
        <v>30</v>
      </c>
      <c r="E168" s="269" t="s">
        <v>1</v>
      </c>
      <c r="F168" s="407">
        <v>8</v>
      </c>
      <c r="G168" s="511"/>
      <c r="H168" s="511">
        <f>F168*G168</f>
        <v>0</v>
      </c>
    </row>
    <row r="169" spans="2:9" ht="13">
      <c r="B169" s="282" t="s">
        <v>1536</v>
      </c>
      <c r="D169" s="314" t="s">
        <v>31</v>
      </c>
      <c r="E169" s="138" t="s">
        <v>7</v>
      </c>
      <c r="F169" s="102">
        <v>1</v>
      </c>
      <c r="G169" s="548"/>
      <c r="H169" s="548">
        <f>F169*G169</f>
        <v>0</v>
      </c>
    </row>
    <row r="170" spans="2:9" ht="13">
      <c r="B170" s="282" t="s">
        <v>1537</v>
      </c>
      <c r="C170" s="213"/>
      <c r="D170" s="213" t="s">
        <v>32</v>
      </c>
      <c r="E170" s="138" t="s">
        <v>7</v>
      </c>
      <c r="F170" s="404">
        <v>1</v>
      </c>
      <c r="G170" s="511"/>
      <c r="H170" s="511">
        <f>F170*G170</f>
        <v>0</v>
      </c>
    </row>
    <row r="171" spans="2:9">
      <c r="B171" s="282"/>
      <c r="C171" s="541"/>
      <c r="D171" s="426"/>
      <c r="E171" s="427"/>
      <c r="F171" s="542"/>
      <c r="G171" s="429"/>
    </row>
    <row r="172" spans="2:9">
      <c r="B172" s="282"/>
      <c r="C172" s="541"/>
      <c r="D172" s="426"/>
      <c r="E172" s="427"/>
      <c r="F172" s="542"/>
      <c r="G172" s="429"/>
    </row>
    <row r="173" spans="2:9">
      <c r="B173" s="282"/>
      <c r="C173" s="541"/>
      <c r="D173" s="426"/>
      <c r="E173" s="427"/>
      <c r="F173" s="428"/>
      <c r="G173" s="429"/>
    </row>
    <row r="174" spans="2:9">
      <c r="B174" s="282"/>
      <c r="C174" s="541"/>
      <c r="D174" s="426"/>
      <c r="E174" s="427"/>
      <c r="F174" s="428"/>
      <c r="G174" s="429"/>
    </row>
    <row r="175" spans="2:9">
      <c r="B175" s="282"/>
      <c r="C175" s="541"/>
      <c r="D175" s="426"/>
      <c r="E175" s="427"/>
      <c r="F175" s="428"/>
      <c r="G175" s="429"/>
    </row>
    <row r="176" spans="2:9">
      <c r="B176" s="282"/>
      <c r="C176" s="541"/>
      <c r="D176" s="426"/>
      <c r="E176" s="427"/>
      <c r="F176" s="428"/>
      <c r="G176" s="429"/>
    </row>
    <row r="177" spans="2:7">
      <c r="B177" s="282"/>
      <c r="C177" s="541"/>
      <c r="D177" s="426"/>
      <c r="E177" s="427"/>
      <c r="F177" s="428"/>
      <c r="G177" s="429"/>
    </row>
    <row r="178" spans="2:7">
      <c r="B178" s="282"/>
      <c r="C178" s="541"/>
      <c r="D178" s="426"/>
      <c r="E178" s="427"/>
      <c r="F178" s="428"/>
      <c r="G178" s="429"/>
    </row>
    <row r="179" spans="2:7">
      <c r="B179" s="282"/>
      <c r="C179" s="541"/>
      <c r="D179" s="426"/>
      <c r="E179" s="427"/>
      <c r="F179" s="428"/>
      <c r="G179" s="429"/>
    </row>
    <row r="180" spans="2:7">
      <c r="B180" s="282"/>
      <c r="C180" s="541"/>
      <c r="D180" s="426"/>
      <c r="E180" s="427"/>
      <c r="F180" s="428"/>
      <c r="G180" s="429"/>
    </row>
    <row r="181" spans="2:7">
      <c r="B181" s="282"/>
      <c r="C181" s="541"/>
      <c r="D181" s="426"/>
      <c r="E181" s="427"/>
      <c r="F181" s="428"/>
      <c r="G181" s="429"/>
    </row>
    <row r="182" spans="2:7">
      <c r="B182" s="282"/>
      <c r="C182" s="541"/>
      <c r="D182" s="426"/>
      <c r="E182" s="427"/>
      <c r="F182" s="428"/>
      <c r="G182" s="429"/>
    </row>
    <row r="183" spans="2:7">
      <c r="B183" s="282"/>
      <c r="C183" s="541"/>
      <c r="D183" s="426"/>
      <c r="E183" s="427"/>
      <c r="F183" s="428"/>
      <c r="G183" s="429"/>
    </row>
    <row r="184" spans="2:7">
      <c r="B184" s="282"/>
      <c r="C184" s="541"/>
      <c r="D184" s="426"/>
      <c r="E184" s="427"/>
      <c r="F184" s="428"/>
      <c r="G184" s="429"/>
    </row>
    <row r="185" spans="2:7">
      <c r="B185" s="282"/>
      <c r="C185" s="541"/>
      <c r="D185" s="426"/>
      <c r="E185" s="427"/>
      <c r="F185" s="428"/>
      <c r="G185" s="429"/>
    </row>
    <row r="186" spans="2:7">
      <c r="B186" s="282"/>
      <c r="C186" s="541"/>
      <c r="D186" s="426"/>
      <c r="E186" s="427"/>
      <c r="F186" s="428"/>
      <c r="G186" s="429"/>
    </row>
    <row r="187" spans="2:7">
      <c r="B187" s="282"/>
      <c r="C187" s="541"/>
      <c r="D187" s="426"/>
      <c r="E187" s="427"/>
      <c r="F187" s="428"/>
      <c r="G187" s="429"/>
    </row>
    <row r="188" spans="2:7">
      <c r="B188" s="282"/>
      <c r="C188" s="541"/>
      <c r="D188" s="426"/>
      <c r="E188" s="427"/>
      <c r="F188" s="428"/>
      <c r="G188" s="429"/>
    </row>
    <row r="189" spans="2:7">
      <c r="B189" s="282"/>
      <c r="C189" s="541"/>
      <c r="D189" s="426"/>
      <c r="E189" s="427"/>
      <c r="F189" s="428"/>
      <c r="G189" s="429"/>
    </row>
    <row r="190" spans="2:7">
      <c r="C190" s="541"/>
      <c r="D190" s="426"/>
      <c r="E190" s="427"/>
      <c r="F190" s="428"/>
      <c r="G190" s="429"/>
    </row>
    <row r="191" spans="2:7">
      <c r="C191" s="541"/>
      <c r="D191" s="426"/>
      <c r="E191" s="427"/>
      <c r="F191" s="428"/>
      <c r="G191" s="429"/>
    </row>
    <row r="192" spans="2:7">
      <c r="C192" s="541"/>
      <c r="D192" s="426"/>
      <c r="E192" s="427"/>
      <c r="F192" s="428"/>
      <c r="G192" s="429"/>
    </row>
    <row r="193" spans="3:7">
      <c r="C193" s="541"/>
      <c r="D193" s="426"/>
      <c r="E193" s="427"/>
      <c r="F193" s="428"/>
      <c r="G193" s="429"/>
    </row>
    <row r="194" spans="3:7">
      <c r="C194" s="541"/>
      <c r="D194" s="426"/>
      <c r="E194" s="427"/>
      <c r="F194" s="428"/>
      <c r="G194" s="429"/>
    </row>
    <row r="195" spans="3:7">
      <c r="C195" s="541"/>
      <c r="D195" s="426"/>
      <c r="E195" s="427"/>
      <c r="F195" s="428"/>
      <c r="G195" s="429"/>
    </row>
    <row r="196" spans="3:7">
      <c r="C196" s="541"/>
      <c r="D196" s="426"/>
      <c r="E196" s="427"/>
      <c r="F196" s="428"/>
      <c r="G196" s="429"/>
    </row>
    <row r="197" spans="3:7">
      <c r="C197" s="541"/>
      <c r="D197" s="426"/>
      <c r="E197" s="427"/>
      <c r="F197" s="428"/>
      <c r="G197" s="429"/>
    </row>
    <row r="198" spans="3:7">
      <c r="C198" s="541"/>
      <c r="D198" s="426"/>
      <c r="E198" s="427"/>
      <c r="F198" s="428"/>
      <c r="G198" s="429"/>
    </row>
    <row r="199" spans="3:7">
      <c r="C199" s="541"/>
      <c r="D199" s="426"/>
      <c r="E199" s="427"/>
      <c r="F199" s="428"/>
      <c r="G199" s="429"/>
    </row>
  </sheetData>
  <phoneticPr fontId="63" type="noConversion"/>
  <printOptions gridLines="1"/>
  <pageMargins left="0.31496062992125984" right="0.31496062992125984" top="0.59055118110236227" bottom="0.59055118110236227" header="0.31496062992125984" footer="0.31496062992125984"/>
  <pageSetup scale="77" fitToHeight="100" orientation="portrait" r:id="rId1"/>
  <headerFooter>
    <oddFooter>&amp;C&amp;P z&amp;N</oddFooter>
  </headerFooter>
  <rowBreaks count="1" manualBreakCount="1">
    <brk id="24"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I169"/>
  <sheetViews>
    <sheetView topLeftCell="A30" workbookViewId="0">
      <selection activeCell="G40" sqref="G40:G168"/>
    </sheetView>
  </sheetViews>
  <sheetFormatPr baseColWidth="10" defaultColWidth="8.83203125" defaultRowHeight="12"/>
  <cols>
    <col min="1" max="1" width="4.6640625" style="51" customWidth="1"/>
    <col min="2" max="2" width="6.33203125" style="51" customWidth="1"/>
    <col min="3" max="3" width="7.33203125" style="557" customWidth="1"/>
    <col min="4" max="4" width="71.1640625" style="51" customWidth="1"/>
    <col min="5" max="5" width="6.83203125" style="245" customWidth="1"/>
    <col min="6" max="6" width="6" style="546" customWidth="1"/>
    <col min="7" max="7" width="8.83203125" style="551" customWidth="1"/>
    <col min="8" max="8" width="9.6640625" style="551" customWidth="1"/>
    <col min="9" max="9" width="11" style="51" bestFit="1" customWidth="1"/>
    <col min="10" max="16384" width="8.83203125" style="51"/>
  </cols>
  <sheetData>
    <row r="1" spans="2:8" ht="15">
      <c r="B1" s="282"/>
      <c r="C1" s="459"/>
      <c r="D1" s="78" t="s">
        <v>974</v>
      </c>
      <c r="E1" s="144"/>
      <c r="F1" s="543"/>
      <c r="G1" s="544"/>
      <c r="H1" s="544"/>
    </row>
    <row r="2" spans="2:8" ht="14">
      <c r="B2" s="282"/>
      <c r="C2" s="459"/>
      <c r="D2" s="152" t="s">
        <v>2578</v>
      </c>
      <c r="E2" s="144"/>
      <c r="F2" s="543"/>
      <c r="G2" s="544"/>
      <c r="H2" s="544"/>
    </row>
    <row r="3" spans="2:8">
      <c r="B3" s="282"/>
      <c r="C3" s="459"/>
      <c r="D3" s="77"/>
      <c r="E3" s="144"/>
      <c r="F3" s="543"/>
      <c r="G3" s="544"/>
      <c r="H3" s="544"/>
    </row>
    <row r="4" spans="2:8" ht="13">
      <c r="B4" s="282"/>
      <c r="C4" s="459"/>
      <c r="D4" s="174" t="s">
        <v>947</v>
      </c>
      <c r="E4" s="144"/>
      <c r="F4" s="543"/>
      <c r="G4" s="544"/>
      <c r="H4" s="544"/>
    </row>
    <row r="5" spans="2:8" ht="13">
      <c r="B5" s="282"/>
      <c r="C5" s="459"/>
      <c r="D5" s="77" t="s">
        <v>975</v>
      </c>
      <c r="E5" s="144"/>
      <c r="F5" s="543"/>
      <c r="G5" s="544"/>
      <c r="H5" s="544"/>
    </row>
    <row r="6" spans="2:8">
      <c r="B6" s="282"/>
      <c r="C6" s="459"/>
      <c r="D6" s="77"/>
      <c r="E6" s="144"/>
      <c r="F6" s="543"/>
      <c r="G6" s="544"/>
      <c r="H6" s="544"/>
    </row>
    <row r="7" spans="2:8">
      <c r="B7" s="282"/>
      <c r="C7" s="459"/>
      <c r="D7" s="77"/>
      <c r="E7" s="144"/>
      <c r="F7" s="543"/>
      <c r="G7" s="544"/>
      <c r="H7" s="544"/>
    </row>
    <row r="8" spans="2:8" ht="13">
      <c r="B8" s="635" t="s">
        <v>2676</v>
      </c>
      <c r="C8" s="441"/>
      <c r="D8" s="138"/>
      <c r="E8" s="144"/>
      <c r="F8" s="543"/>
      <c r="G8" s="544"/>
      <c r="H8" s="544"/>
    </row>
    <row r="9" spans="2:8" ht="13">
      <c r="B9" s="443" t="s">
        <v>2675</v>
      </c>
      <c r="C9" s="441"/>
      <c r="D9" s="1"/>
      <c r="E9" s="144"/>
      <c r="F9" s="543"/>
      <c r="G9" s="544"/>
      <c r="H9" s="544"/>
    </row>
    <row r="10" spans="2:8">
      <c r="B10" s="282"/>
      <c r="C10" s="459"/>
      <c r="D10" s="77"/>
      <c r="E10" s="144"/>
      <c r="F10" s="543"/>
      <c r="G10" s="544"/>
      <c r="H10" s="544"/>
    </row>
    <row r="11" spans="2:8">
      <c r="B11" s="282"/>
      <c r="C11" s="459"/>
      <c r="D11" s="77"/>
      <c r="E11" s="144"/>
      <c r="F11" s="543"/>
      <c r="G11" s="544"/>
      <c r="H11" s="544"/>
    </row>
    <row r="12" spans="2:8" ht="14">
      <c r="B12" s="282"/>
      <c r="C12" s="459"/>
      <c r="D12" s="54" t="s">
        <v>2677</v>
      </c>
      <c r="E12" s="144"/>
      <c r="F12" s="543"/>
      <c r="G12" s="544"/>
      <c r="H12" s="544"/>
    </row>
    <row r="13" spans="2:8">
      <c r="B13" s="282"/>
      <c r="C13" s="459"/>
      <c r="D13" s="77"/>
      <c r="E13" s="144"/>
      <c r="F13" s="543"/>
      <c r="G13" s="544"/>
      <c r="H13" s="544"/>
    </row>
    <row r="14" spans="2:8">
      <c r="B14" s="282"/>
      <c r="C14" s="459"/>
      <c r="D14" s="77"/>
      <c r="E14" s="144"/>
      <c r="F14" s="543"/>
      <c r="G14" s="544"/>
      <c r="H14" s="544"/>
    </row>
    <row r="15" spans="2:8">
      <c r="B15" s="282"/>
      <c r="C15" s="459"/>
      <c r="D15" s="200"/>
      <c r="E15" s="144"/>
      <c r="F15" s="543"/>
      <c r="G15" s="544"/>
      <c r="H15" s="544"/>
    </row>
    <row r="16" spans="2:8" ht="13">
      <c r="B16" s="282" t="s">
        <v>1090</v>
      </c>
      <c r="C16" s="459"/>
      <c r="D16" s="466" t="s">
        <v>977</v>
      </c>
      <c r="E16" s="144" t="s">
        <v>48</v>
      </c>
      <c r="F16" s="543"/>
      <c r="G16" s="544"/>
      <c r="H16" s="61">
        <f>SUM(H38)</f>
        <v>0</v>
      </c>
    </row>
    <row r="17" spans="2:8" ht="13">
      <c r="B17" s="282" t="s">
        <v>1091</v>
      </c>
      <c r="C17" s="459"/>
      <c r="D17" s="144"/>
      <c r="E17" s="144"/>
      <c r="F17" s="543"/>
      <c r="G17" s="544"/>
      <c r="H17" s="544"/>
    </row>
    <row r="18" spans="2:8" ht="13">
      <c r="B18" s="282" t="s">
        <v>1092</v>
      </c>
      <c r="C18" s="459"/>
      <c r="D18" s="144"/>
      <c r="E18" s="144"/>
      <c r="F18" s="543"/>
      <c r="G18" s="544"/>
      <c r="H18" s="544"/>
    </row>
    <row r="19" spans="2:8" ht="13">
      <c r="B19" s="282" t="s">
        <v>1093</v>
      </c>
      <c r="C19" s="459"/>
      <c r="D19" s="419"/>
      <c r="E19" s="138"/>
      <c r="F19" s="236"/>
      <c r="G19" s="545"/>
      <c r="H19" s="545"/>
    </row>
    <row r="20" spans="2:8" s="556" customFormat="1" ht="28.25" customHeight="1">
      <c r="B20" s="420" t="s">
        <v>52</v>
      </c>
      <c r="C20" s="584"/>
      <c r="D20" s="432" t="s">
        <v>979</v>
      </c>
      <c r="E20" s="432" t="s">
        <v>980</v>
      </c>
      <c r="F20" s="421" t="s">
        <v>981</v>
      </c>
      <c r="G20" s="585" t="s">
        <v>982</v>
      </c>
      <c r="H20" s="583" t="s">
        <v>983</v>
      </c>
    </row>
    <row r="21" spans="2:8" s="138" customFormat="1" ht="13">
      <c r="B21" s="282" t="s">
        <v>1095</v>
      </c>
      <c r="D21" s="138" t="s">
        <v>984</v>
      </c>
      <c r="F21" s="102"/>
      <c r="G21" s="102"/>
      <c r="H21" s="42"/>
    </row>
    <row r="22" spans="2:8" s="138" customFormat="1" ht="13">
      <c r="B22" s="282" t="s">
        <v>1096</v>
      </c>
      <c r="D22" s="138" t="s">
        <v>985</v>
      </c>
      <c r="F22" s="102"/>
      <c r="G22" s="102"/>
      <c r="H22" s="42"/>
    </row>
    <row r="23" spans="2:8" s="138" customFormat="1" ht="65">
      <c r="B23" s="282" t="s">
        <v>1097</v>
      </c>
      <c r="D23" s="138" t="s">
        <v>986</v>
      </c>
      <c r="F23" s="102"/>
      <c r="G23" s="102"/>
      <c r="H23" s="42"/>
    </row>
    <row r="24" spans="2:8" s="138" customFormat="1" ht="26">
      <c r="B24" s="282" t="s">
        <v>1098</v>
      </c>
      <c r="D24" s="314" t="s">
        <v>987</v>
      </c>
      <c r="F24" s="102"/>
      <c r="G24" s="102"/>
      <c r="H24" s="42"/>
    </row>
    <row r="25" spans="2:8" s="138" customFormat="1" ht="13">
      <c r="B25" s="282" t="s">
        <v>1099</v>
      </c>
      <c r="D25" s="138" t="s">
        <v>988</v>
      </c>
      <c r="F25" s="102"/>
      <c r="G25" s="102"/>
      <c r="H25" s="42"/>
    </row>
    <row r="26" spans="2:8" s="138" customFormat="1" ht="52">
      <c r="B26" s="282" t="s">
        <v>1100</v>
      </c>
      <c r="D26" s="138" t="s">
        <v>989</v>
      </c>
      <c r="F26" s="102"/>
      <c r="G26" s="102"/>
      <c r="H26" s="42"/>
    </row>
    <row r="27" spans="2:8" s="138" customFormat="1" ht="13">
      <c r="B27" s="282" t="s">
        <v>1101</v>
      </c>
      <c r="D27" s="138" t="s">
        <v>990</v>
      </c>
      <c r="F27" s="102"/>
      <c r="G27" s="102"/>
      <c r="H27" s="42"/>
    </row>
    <row r="28" spans="2:8" s="138" customFormat="1" ht="13">
      <c r="B28" s="282" t="s">
        <v>1102</v>
      </c>
      <c r="D28" s="138" t="s">
        <v>991</v>
      </c>
      <c r="F28" s="102"/>
      <c r="G28" s="102"/>
      <c r="H28" s="42"/>
    </row>
    <row r="29" spans="2:8" s="138" customFormat="1" ht="26">
      <c r="B29" s="282" t="s">
        <v>1103</v>
      </c>
      <c r="D29" s="138" t="s">
        <v>2536</v>
      </c>
      <c r="F29" s="102"/>
      <c r="G29" s="102"/>
      <c r="H29" s="42"/>
    </row>
    <row r="30" spans="2:8" s="138" customFormat="1" ht="13">
      <c r="B30" s="282" t="s">
        <v>1104</v>
      </c>
      <c r="D30" s="138" t="s">
        <v>2537</v>
      </c>
      <c r="F30" s="102"/>
      <c r="G30" s="102"/>
      <c r="H30" s="42"/>
    </row>
    <row r="31" spans="2:8" s="138" customFormat="1" ht="13">
      <c r="B31" s="282" t="s">
        <v>1105</v>
      </c>
      <c r="D31" s="138" t="s">
        <v>2538</v>
      </c>
      <c r="F31" s="102"/>
      <c r="G31" s="102"/>
      <c r="H31" s="42"/>
    </row>
    <row r="32" spans="2:8" s="138" customFormat="1" ht="13">
      <c r="B32" s="282" t="s">
        <v>1106</v>
      </c>
      <c r="D32" s="213" t="s">
        <v>2539</v>
      </c>
      <c r="F32" s="102"/>
      <c r="G32" s="102"/>
      <c r="H32" s="42"/>
    </row>
    <row r="33" spans="2:8" s="138" customFormat="1" ht="26">
      <c r="B33" s="282" t="s">
        <v>1107</v>
      </c>
      <c r="D33" s="213" t="s">
        <v>2540</v>
      </c>
      <c r="F33" s="102"/>
      <c r="G33" s="102"/>
      <c r="H33" s="42"/>
    </row>
    <row r="34" spans="2:8" s="138" customFormat="1" ht="13">
      <c r="B34" s="282" t="s">
        <v>1108</v>
      </c>
      <c r="D34" s="138" t="s">
        <v>2541</v>
      </c>
      <c r="F34" s="102"/>
      <c r="G34" s="102"/>
      <c r="H34" s="42"/>
    </row>
    <row r="35" spans="2:8" s="138" customFormat="1" ht="13">
      <c r="B35" s="282" t="s">
        <v>1109</v>
      </c>
      <c r="D35" s="138" t="s">
        <v>2542</v>
      </c>
      <c r="F35" s="102"/>
      <c r="G35" s="102"/>
      <c r="H35" s="42"/>
    </row>
    <row r="36" spans="2:8" s="138" customFormat="1" ht="13">
      <c r="B36" s="282" t="s">
        <v>1110</v>
      </c>
      <c r="D36" s="138" t="s">
        <v>2543</v>
      </c>
      <c r="F36" s="102"/>
      <c r="G36" s="102"/>
      <c r="H36" s="42"/>
    </row>
    <row r="37" spans="2:8" ht="78">
      <c r="B37" s="282" t="s">
        <v>1111</v>
      </c>
      <c r="C37" s="60"/>
      <c r="D37" s="138" t="s">
        <v>2632</v>
      </c>
      <c r="E37" s="144"/>
      <c r="F37" s="144"/>
      <c r="G37" s="544"/>
    </row>
    <row r="38" spans="2:8" ht="13">
      <c r="B38" s="282" t="s">
        <v>1112</v>
      </c>
      <c r="C38" s="704"/>
      <c r="D38" s="645" t="s">
        <v>977</v>
      </c>
      <c r="E38" s="705" t="s">
        <v>48</v>
      </c>
      <c r="F38" s="706" t="s">
        <v>60</v>
      </c>
      <c r="G38" s="706"/>
      <c r="H38" s="706">
        <f>SUM(H41:H169)</f>
        <v>0</v>
      </c>
    </row>
    <row r="39" spans="2:8" ht="13">
      <c r="B39" s="282" t="s">
        <v>1113</v>
      </c>
      <c r="C39" s="704"/>
      <c r="D39" s="645" t="s">
        <v>992</v>
      </c>
      <c r="E39" s="707"/>
      <c r="F39" s="708"/>
      <c r="G39" s="708"/>
      <c r="H39" s="708"/>
    </row>
    <row r="40" spans="2:8" ht="13">
      <c r="B40" s="282" t="s">
        <v>1114</v>
      </c>
      <c r="D40" s="466" t="s">
        <v>993</v>
      </c>
      <c r="G40" s="546"/>
      <c r="H40" s="546"/>
    </row>
    <row r="41" spans="2:8" ht="26">
      <c r="B41" s="282" t="s">
        <v>1115</v>
      </c>
      <c r="C41" s="557">
        <v>877355121</v>
      </c>
      <c r="D41" s="213" t="s">
        <v>994</v>
      </c>
      <c r="E41" s="245" t="s">
        <v>7</v>
      </c>
      <c r="F41" s="546">
        <v>1</v>
      </c>
      <c r="G41" s="546"/>
      <c r="H41" s="546">
        <f t="shared" ref="H41:H47" si="0">F41*G41</f>
        <v>0</v>
      </c>
    </row>
    <row r="42" spans="2:8" ht="26">
      <c r="B42" s="282" t="s">
        <v>1116</v>
      </c>
      <c r="C42" s="557">
        <v>877355121</v>
      </c>
      <c r="D42" s="213" t="s">
        <v>995</v>
      </c>
      <c r="E42" s="245" t="s">
        <v>7</v>
      </c>
      <c r="F42" s="546">
        <v>1</v>
      </c>
      <c r="G42" s="546"/>
      <c r="H42" s="546">
        <f t="shared" si="0"/>
        <v>0</v>
      </c>
    </row>
    <row r="43" spans="2:8" ht="39">
      <c r="B43" s="282" t="s">
        <v>1117</v>
      </c>
      <c r="C43" s="557">
        <v>877355211</v>
      </c>
      <c r="D43" s="213" t="s">
        <v>996</v>
      </c>
      <c r="E43" s="245" t="s">
        <v>7</v>
      </c>
      <c r="F43" s="546">
        <v>4</v>
      </c>
      <c r="G43" s="546"/>
      <c r="H43" s="546">
        <f t="shared" si="0"/>
        <v>0</v>
      </c>
    </row>
    <row r="44" spans="2:8" ht="13">
      <c r="B44" s="282" t="s">
        <v>1414</v>
      </c>
      <c r="C44" s="557">
        <v>871355231</v>
      </c>
      <c r="D44" s="213" t="s">
        <v>997</v>
      </c>
      <c r="E44" s="245" t="s">
        <v>15</v>
      </c>
      <c r="F44" s="546">
        <v>4</v>
      </c>
      <c r="G44" s="546"/>
      <c r="H44" s="546">
        <f t="shared" si="0"/>
        <v>0</v>
      </c>
    </row>
    <row r="45" spans="2:8" ht="13">
      <c r="B45" s="282" t="s">
        <v>1118</v>
      </c>
      <c r="C45" s="557" t="s">
        <v>998</v>
      </c>
      <c r="D45" s="213" t="s">
        <v>999</v>
      </c>
      <c r="E45" s="245" t="s">
        <v>7</v>
      </c>
      <c r="F45" s="546">
        <v>1</v>
      </c>
      <c r="G45" s="546"/>
      <c r="H45" s="546">
        <f t="shared" si="0"/>
        <v>0</v>
      </c>
    </row>
    <row r="46" spans="2:8" ht="13">
      <c r="B46" s="282" t="s">
        <v>1119</v>
      </c>
      <c r="C46" s="557" t="s">
        <v>998</v>
      </c>
      <c r="D46" s="213" t="s">
        <v>1000</v>
      </c>
      <c r="E46" s="245" t="s">
        <v>7</v>
      </c>
      <c r="F46" s="546">
        <v>3</v>
      </c>
      <c r="G46" s="546"/>
      <c r="H46" s="546">
        <f t="shared" si="0"/>
        <v>0</v>
      </c>
    </row>
    <row r="47" spans="2:8" ht="13">
      <c r="B47" s="282" t="s">
        <v>1120</v>
      </c>
      <c r="C47" s="557" t="s">
        <v>1001</v>
      </c>
      <c r="D47" s="213" t="s">
        <v>1002</v>
      </c>
      <c r="E47" s="245" t="s">
        <v>15</v>
      </c>
      <c r="F47" s="546">
        <v>4</v>
      </c>
      <c r="G47" s="546"/>
      <c r="H47" s="546">
        <f t="shared" si="0"/>
        <v>0</v>
      </c>
    </row>
    <row r="48" spans="2:8" ht="26">
      <c r="B48" s="282" t="s">
        <v>1415</v>
      </c>
      <c r="C48" s="557" t="s">
        <v>1001</v>
      </c>
      <c r="D48" s="213" t="s">
        <v>2607</v>
      </c>
      <c r="E48" s="245" t="s">
        <v>7</v>
      </c>
      <c r="F48" s="546">
        <v>1</v>
      </c>
      <c r="G48" s="546"/>
      <c r="H48" s="546">
        <f t="shared" ref="H48:H76" si="1">F48*G48</f>
        <v>0</v>
      </c>
    </row>
    <row r="49" spans="2:8" ht="26">
      <c r="B49" s="282" t="s">
        <v>1416</v>
      </c>
      <c r="D49" s="213" t="s">
        <v>1003</v>
      </c>
      <c r="E49" s="245" t="s">
        <v>8</v>
      </c>
      <c r="F49" s="546">
        <f>1.31*1.31*0.15</f>
        <v>0.257415</v>
      </c>
      <c r="G49" s="546"/>
      <c r="H49" s="546">
        <f t="shared" si="1"/>
        <v>0</v>
      </c>
    </row>
    <row r="50" spans="2:8" ht="13">
      <c r="B50" s="282" t="s">
        <v>1417</v>
      </c>
      <c r="C50" s="557" t="s">
        <v>1001</v>
      </c>
      <c r="D50" s="51" t="s">
        <v>1004</v>
      </c>
      <c r="E50" s="245" t="s">
        <v>7</v>
      </c>
      <c r="F50" s="546">
        <v>1</v>
      </c>
      <c r="G50" s="546"/>
      <c r="H50" s="546">
        <f t="shared" si="1"/>
        <v>0</v>
      </c>
    </row>
    <row r="51" spans="2:8" ht="13">
      <c r="B51" s="282" t="s">
        <v>1418</v>
      </c>
      <c r="C51" s="557">
        <v>721174027</v>
      </c>
      <c r="D51" s="51" t="s">
        <v>1005</v>
      </c>
      <c r="E51" s="245" t="s">
        <v>15</v>
      </c>
      <c r="F51" s="546">
        <v>12</v>
      </c>
      <c r="G51" s="546"/>
      <c r="H51" s="546">
        <f t="shared" si="1"/>
        <v>0</v>
      </c>
    </row>
    <row r="52" spans="2:8" ht="13">
      <c r="B52" s="282" t="s">
        <v>1419</v>
      </c>
      <c r="C52" s="557">
        <v>721174026</v>
      </c>
      <c r="D52" s="51" t="s">
        <v>1006</v>
      </c>
      <c r="E52" s="245" t="s">
        <v>15</v>
      </c>
      <c r="F52" s="546">
        <f>5.11+1.05</f>
        <v>6.16</v>
      </c>
      <c r="G52" s="546"/>
      <c r="H52" s="546">
        <f t="shared" si="1"/>
        <v>0</v>
      </c>
    </row>
    <row r="53" spans="2:8" ht="13">
      <c r="B53" s="282" t="s">
        <v>1420</v>
      </c>
      <c r="C53" s="557">
        <v>721174025</v>
      </c>
      <c r="D53" s="213" t="s">
        <v>1007</v>
      </c>
      <c r="E53" s="245" t="s">
        <v>15</v>
      </c>
      <c r="F53" s="546">
        <f>1.325+10.7+0.7+0.5</f>
        <v>13.224999999999998</v>
      </c>
      <c r="G53" s="546"/>
      <c r="H53" s="546">
        <f t="shared" si="1"/>
        <v>0</v>
      </c>
    </row>
    <row r="54" spans="2:8" ht="13">
      <c r="B54" s="282" t="s">
        <v>1421</v>
      </c>
      <c r="C54" s="557">
        <v>721174004</v>
      </c>
      <c r="D54" s="213" t="s">
        <v>1008</v>
      </c>
      <c r="E54" s="245" t="s">
        <v>15</v>
      </c>
      <c r="F54" s="546">
        <v>5</v>
      </c>
      <c r="G54" s="546"/>
      <c r="H54" s="546">
        <f t="shared" si="1"/>
        <v>0</v>
      </c>
    </row>
    <row r="55" spans="2:8" ht="13">
      <c r="B55" s="282" t="s">
        <v>1422</v>
      </c>
      <c r="C55" s="557">
        <v>721174043</v>
      </c>
      <c r="D55" s="213" t="s">
        <v>1009</v>
      </c>
      <c r="E55" s="245" t="s">
        <v>15</v>
      </c>
      <c r="F55" s="546">
        <v>8</v>
      </c>
      <c r="G55" s="546"/>
      <c r="H55" s="546">
        <f t="shared" si="1"/>
        <v>0</v>
      </c>
    </row>
    <row r="56" spans="2:8" ht="13">
      <c r="B56" s="282" t="s">
        <v>1423</v>
      </c>
      <c r="C56" s="557" t="s">
        <v>1001</v>
      </c>
      <c r="D56" s="51" t="s">
        <v>1010</v>
      </c>
      <c r="E56" s="245" t="s">
        <v>15</v>
      </c>
      <c r="F56" s="546">
        <v>12</v>
      </c>
      <c r="G56" s="546"/>
      <c r="H56" s="546">
        <f>F56*G56</f>
        <v>0</v>
      </c>
    </row>
    <row r="57" spans="2:8" ht="13">
      <c r="B57" s="282" t="s">
        <v>1424</v>
      </c>
      <c r="C57" s="557" t="s">
        <v>1001</v>
      </c>
      <c r="D57" s="51" t="s">
        <v>1011</v>
      </c>
      <c r="E57" s="245" t="s">
        <v>15</v>
      </c>
      <c r="F57" s="546">
        <v>6.16</v>
      </c>
      <c r="G57" s="546"/>
      <c r="H57" s="546">
        <f t="shared" si="1"/>
        <v>0</v>
      </c>
    </row>
    <row r="58" spans="2:8" ht="13">
      <c r="B58" s="282" t="s">
        <v>1425</v>
      </c>
      <c r="C58" s="557" t="s">
        <v>1001</v>
      </c>
      <c r="D58" s="51" t="s">
        <v>1012</v>
      </c>
      <c r="E58" s="245" t="s">
        <v>15</v>
      </c>
      <c r="F58" s="546">
        <v>13.22</v>
      </c>
      <c r="G58" s="546"/>
      <c r="H58" s="546">
        <f t="shared" si="1"/>
        <v>0</v>
      </c>
    </row>
    <row r="59" spans="2:8" ht="13">
      <c r="B59" s="282" t="s">
        <v>1426</v>
      </c>
      <c r="C59" s="557" t="s">
        <v>1001</v>
      </c>
      <c r="D59" s="51" t="s">
        <v>1013</v>
      </c>
      <c r="E59" s="245" t="s">
        <v>15</v>
      </c>
      <c r="F59" s="546">
        <v>8</v>
      </c>
      <c r="G59" s="546"/>
      <c r="H59" s="546">
        <f t="shared" si="1"/>
        <v>0</v>
      </c>
    </row>
    <row r="60" spans="2:8" ht="13">
      <c r="B60" s="282" t="s">
        <v>1427</v>
      </c>
      <c r="C60" s="557" t="s">
        <v>1001</v>
      </c>
      <c r="D60" s="51" t="s">
        <v>1014</v>
      </c>
      <c r="E60" s="245" t="s">
        <v>7</v>
      </c>
      <c r="F60" s="546">
        <v>1</v>
      </c>
      <c r="G60" s="546"/>
      <c r="H60" s="546">
        <f t="shared" si="1"/>
        <v>0</v>
      </c>
    </row>
    <row r="61" spans="2:8" ht="13">
      <c r="B61" s="282" t="s">
        <v>1428</v>
      </c>
      <c r="C61" s="557" t="s">
        <v>1001</v>
      </c>
      <c r="D61" s="51" t="s">
        <v>1015</v>
      </c>
      <c r="E61" s="245" t="s">
        <v>7</v>
      </c>
      <c r="F61" s="546">
        <v>1</v>
      </c>
      <c r="G61" s="546"/>
      <c r="H61" s="546">
        <f t="shared" si="1"/>
        <v>0</v>
      </c>
    </row>
    <row r="62" spans="2:8" ht="13">
      <c r="B62" s="282" t="s">
        <v>1429</v>
      </c>
      <c r="C62" s="557" t="s">
        <v>1001</v>
      </c>
      <c r="D62" s="51" t="s">
        <v>1016</v>
      </c>
      <c r="E62" s="245" t="s">
        <v>7</v>
      </c>
      <c r="F62" s="546">
        <v>2</v>
      </c>
      <c r="G62" s="546"/>
      <c r="H62" s="546">
        <f t="shared" si="1"/>
        <v>0</v>
      </c>
    </row>
    <row r="63" spans="2:8" ht="13">
      <c r="B63" s="282" t="s">
        <v>1430</v>
      </c>
      <c r="C63" s="557" t="s">
        <v>1001</v>
      </c>
      <c r="D63" s="51" t="s">
        <v>1017</v>
      </c>
      <c r="E63" s="245" t="s">
        <v>7</v>
      </c>
      <c r="F63" s="546">
        <v>1</v>
      </c>
      <c r="G63" s="546"/>
      <c r="H63" s="546">
        <f t="shared" si="1"/>
        <v>0</v>
      </c>
    </row>
    <row r="64" spans="2:8" ht="13">
      <c r="B64" s="282" t="s">
        <v>1431</v>
      </c>
      <c r="C64" s="557" t="s">
        <v>1001</v>
      </c>
      <c r="D64" s="51" t="s">
        <v>1018</v>
      </c>
      <c r="E64" s="245" t="s">
        <v>7</v>
      </c>
      <c r="F64" s="546">
        <v>1</v>
      </c>
      <c r="G64" s="546"/>
      <c r="H64" s="546">
        <f t="shared" si="1"/>
        <v>0</v>
      </c>
    </row>
    <row r="65" spans="2:9" ht="13">
      <c r="B65" s="282" t="s">
        <v>1432</v>
      </c>
      <c r="C65" s="557" t="s">
        <v>1001</v>
      </c>
      <c r="D65" s="51" t="s">
        <v>1019</v>
      </c>
      <c r="E65" s="245" t="s">
        <v>7</v>
      </c>
      <c r="F65" s="546">
        <v>1</v>
      </c>
      <c r="G65" s="546"/>
      <c r="H65" s="546">
        <f t="shared" si="1"/>
        <v>0</v>
      </c>
    </row>
    <row r="66" spans="2:9" ht="13">
      <c r="B66" s="282" t="s">
        <v>1433</v>
      </c>
      <c r="C66" s="557" t="s">
        <v>1001</v>
      </c>
      <c r="D66" s="51" t="s">
        <v>2608</v>
      </c>
      <c r="E66" s="245" t="s">
        <v>7</v>
      </c>
      <c r="F66" s="546">
        <v>3</v>
      </c>
      <c r="G66" s="546"/>
      <c r="H66" s="546">
        <f t="shared" si="1"/>
        <v>0</v>
      </c>
    </row>
    <row r="67" spans="2:9" ht="13">
      <c r="B67" s="282" t="s">
        <v>1434</v>
      </c>
      <c r="C67" s="557" t="s">
        <v>1001</v>
      </c>
      <c r="D67" s="213" t="s">
        <v>1020</v>
      </c>
      <c r="E67" s="245" t="s">
        <v>7</v>
      </c>
      <c r="F67" s="546">
        <v>1</v>
      </c>
      <c r="G67" s="546"/>
      <c r="H67" s="546">
        <f t="shared" si="1"/>
        <v>0</v>
      </c>
    </row>
    <row r="68" spans="2:9" ht="13">
      <c r="B68" s="282" t="s">
        <v>1435</v>
      </c>
      <c r="C68" s="557" t="s">
        <v>1001</v>
      </c>
      <c r="D68" s="51" t="s">
        <v>1021</v>
      </c>
      <c r="E68" s="245" t="s">
        <v>7</v>
      </c>
      <c r="F68" s="546">
        <v>2</v>
      </c>
      <c r="G68" s="546"/>
      <c r="H68" s="546">
        <f t="shared" si="1"/>
        <v>0</v>
      </c>
    </row>
    <row r="69" spans="2:9" ht="13">
      <c r="B69" s="282" t="s">
        <v>1436</v>
      </c>
      <c r="C69" s="557" t="s">
        <v>1001</v>
      </c>
      <c r="D69" s="51" t="s">
        <v>1022</v>
      </c>
      <c r="E69" s="245" t="s">
        <v>7</v>
      </c>
      <c r="F69" s="546">
        <v>1</v>
      </c>
      <c r="G69" s="546"/>
      <c r="H69" s="546">
        <f>F69*G69</f>
        <v>0</v>
      </c>
    </row>
    <row r="70" spans="2:9" ht="26">
      <c r="B70" s="282" t="s">
        <v>1437</v>
      </c>
      <c r="C70" s="557" t="s">
        <v>1001</v>
      </c>
      <c r="D70" s="213" t="s">
        <v>1023</v>
      </c>
      <c r="E70" s="245" t="s">
        <v>7</v>
      </c>
      <c r="F70" s="546">
        <v>1</v>
      </c>
      <c r="G70" s="546"/>
      <c r="H70" s="546">
        <f t="shared" si="1"/>
        <v>0</v>
      </c>
    </row>
    <row r="71" spans="2:9" ht="13">
      <c r="B71" s="282" t="s">
        <v>1438</v>
      </c>
      <c r="C71" s="557" t="s">
        <v>1001</v>
      </c>
      <c r="D71" s="213" t="s">
        <v>1024</v>
      </c>
      <c r="E71" s="245" t="s">
        <v>7</v>
      </c>
      <c r="F71" s="546">
        <v>3</v>
      </c>
      <c r="G71" s="546"/>
      <c r="H71" s="546">
        <f t="shared" si="1"/>
        <v>0</v>
      </c>
    </row>
    <row r="72" spans="2:9" ht="13">
      <c r="B72" s="282" t="s">
        <v>1439</v>
      </c>
      <c r="C72" s="557">
        <v>721290111</v>
      </c>
      <c r="D72" s="213" t="s">
        <v>1025</v>
      </c>
      <c r="E72" s="245" t="s">
        <v>15</v>
      </c>
      <c r="F72" s="546">
        <v>35</v>
      </c>
      <c r="G72" s="546"/>
      <c r="H72" s="546">
        <f t="shared" si="1"/>
        <v>0</v>
      </c>
    </row>
    <row r="73" spans="2:9" ht="13">
      <c r="B73" s="282" t="s">
        <v>1440</v>
      </c>
      <c r="C73" s="704"/>
      <c r="D73" s="710" t="s">
        <v>0</v>
      </c>
      <c r="E73" s="707"/>
      <c r="F73" s="708"/>
      <c r="G73" s="708"/>
      <c r="H73" s="708"/>
    </row>
    <row r="74" spans="2:9" ht="13">
      <c r="B74" s="282" t="s">
        <v>1441</v>
      </c>
      <c r="C74" s="557" t="s">
        <v>1001</v>
      </c>
      <c r="D74" s="138" t="s">
        <v>2533</v>
      </c>
      <c r="E74" s="245" t="s">
        <v>8</v>
      </c>
      <c r="F74" s="546">
        <f>1*2.5*3.5</f>
        <v>8.75</v>
      </c>
      <c r="G74" s="547"/>
      <c r="H74" s="546">
        <f t="shared" si="1"/>
        <v>0</v>
      </c>
    </row>
    <row r="75" spans="2:9" ht="13">
      <c r="B75" s="282" t="s">
        <v>1442</v>
      </c>
      <c r="D75" s="138" t="s">
        <v>1026</v>
      </c>
      <c r="G75" s="547"/>
      <c r="H75" s="546"/>
    </row>
    <row r="76" spans="2:9" ht="13">
      <c r="B76" s="282" t="s">
        <v>1443</v>
      </c>
      <c r="C76" s="557" t="s">
        <v>1001</v>
      </c>
      <c r="D76" s="51" t="s">
        <v>2609</v>
      </c>
      <c r="E76" s="245" t="s">
        <v>8</v>
      </c>
      <c r="F76" s="546">
        <f>11.5*0.8*0.45</f>
        <v>4.1400000000000006</v>
      </c>
      <c r="G76" s="547"/>
      <c r="H76" s="546">
        <f t="shared" si="1"/>
        <v>0</v>
      </c>
    </row>
    <row r="77" spans="2:9" ht="26">
      <c r="B77" s="282" t="s">
        <v>1444</v>
      </c>
      <c r="C77" s="557" t="s">
        <v>1001</v>
      </c>
      <c r="D77" s="500" t="s">
        <v>1027</v>
      </c>
      <c r="E77" s="245" t="s">
        <v>8</v>
      </c>
      <c r="F77" s="546">
        <f>F74+F76</f>
        <v>12.89</v>
      </c>
      <c r="G77" s="547"/>
      <c r="H77" s="709">
        <f>F77*G77</f>
        <v>0</v>
      </c>
      <c r="I77" s="101"/>
    </row>
    <row r="78" spans="2:9" ht="52">
      <c r="B78" s="282" t="s">
        <v>1445</v>
      </c>
      <c r="C78" s="557" t="s">
        <v>1001</v>
      </c>
      <c r="D78" s="314" t="s">
        <v>2642</v>
      </c>
      <c r="E78" s="245" t="s">
        <v>8</v>
      </c>
      <c r="F78" s="546">
        <f>F77</f>
        <v>12.89</v>
      </c>
      <c r="G78" s="547"/>
      <c r="H78" s="709">
        <f>F78*G78</f>
        <v>0</v>
      </c>
      <c r="I78" s="101"/>
    </row>
    <row r="79" spans="2:9" ht="13">
      <c r="B79" s="282" t="s">
        <v>1446</v>
      </c>
      <c r="C79" s="557" t="s">
        <v>1001</v>
      </c>
      <c r="D79" s="138" t="s">
        <v>1028</v>
      </c>
      <c r="E79" s="137" t="s">
        <v>10</v>
      </c>
      <c r="F79" s="547">
        <f>F77*2</f>
        <v>25.78</v>
      </c>
      <c r="G79" s="547"/>
      <c r="H79" s="547">
        <f>F79*G79</f>
        <v>0</v>
      </c>
      <c r="I79" s="548"/>
    </row>
    <row r="80" spans="2:9" ht="26">
      <c r="B80" s="282" t="s">
        <v>1447</v>
      </c>
      <c r="C80" s="557" t="s">
        <v>1001</v>
      </c>
      <c r="D80" s="549" t="s">
        <v>1029</v>
      </c>
      <c r="E80" s="550" t="s">
        <v>4</v>
      </c>
      <c r="F80" s="546">
        <f>12*0.8</f>
        <v>9.6000000000000014</v>
      </c>
      <c r="G80" s="546"/>
      <c r="H80" s="547">
        <f>F80*G80</f>
        <v>0</v>
      </c>
    </row>
    <row r="81" spans="2:9" ht="26">
      <c r="B81" s="282" t="s">
        <v>1448</v>
      </c>
      <c r="C81" s="557" t="s">
        <v>1001</v>
      </c>
      <c r="D81" s="314" t="s">
        <v>1030</v>
      </c>
      <c r="E81" s="550" t="s">
        <v>8</v>
      </c>
      <c r="F81" s="546">
        <f>10*0.8*0.15+1*2.5*0.15</f>
        <v>1.575</v>
      </c>
      <c r="G81" s="546"/>
      <c r="H81" s="546">
        <f>F81*G81</f>
        <v>0</v>
      </c>
      <c r="I81" s="101"/>
    </row>
    <row r="82" spans="2:9" ht="26">
      <c r="B82" s="282" t="s">
        <v>1449</v>
      </c>
      <c r="D82" s="213" t="s">
        <v>1031</v>
      </c>
      <c r="G82" s="546"/>
      <c r="H82" s="546"/>
    </row>
    <row r="83" spans="2:9" ht="26">
      <c r="B83" s="282" t="s">
        <v>1450</v>
      </c>
      <c r="C83" s="557" t="s">
        <v>1001</v>
      </c>
      <c r="D83" s="549" t="s">
        <v>1032</v>
      </c>
      <c r="E83" s="550" t="s">
        <v>8</v>
      </c>
      <c r="F83" s="546">
        <f>10*0.8*0.3+1*2.5*0.3</f>
        <v>3.15</v>
      </c>
      <c r="G83" s="546"/>
      <c r="H83" s="546">
        <f>G83*F83</f>
        <v>0</v>
      </c>
      <c r="I83" s="101"/>
    </row>
    <row r="84" spans="2:9" ht="52">
      <c r="B84" s="282" t="s">
        <v>1451</v>
      </c>
      <c r="C84" s="557" t="s">
        <v>1001</v>
      </c>
      <c r="D84" s="213" t="s">
        <v>1033</v>
      </c>
      <c r="E84" s="245" t="s">
        <v>8</v>
      </c>
      <c r="F84" s="546">
        <v>6</v>
      </c>
      <c r="G84" s="546"/>
      <c r="H84" s="546">
        <f>G84*F84</f>
        <v>0</v>
      </c>
    </row>
    <row r="85" spans="2:9" ht="13">
      <c r="B85" s="282" t="s">
        <v>1452</v>
      </c>
      <c r="C85" s="557" t="s">
        <v>1001</v>
      </c>
      <c r="D85" s="549" t="s">
        <v>1034</v>
      </c>
      <c r="E85" s="550" t="s">
        <v>8</v>
      </c>
      <c r="F85" s="546">
        <f>1*2.5*3.05</f>
        <v>7.625</v>
      </c>
      <c r="G85" s="546"/>
      <c r="H85" s="546">
        <f>G85*F85</f>
        <v>0</v>
      </c>
    </row>
    <row r="86" spans="2:9" ht="26">
      <c r="B86" s="282" t="s">
        <v>1453</v>
      </c>
      <c r="C86" s="557" t="s">
        <v>1001</v>
      </c>
      <c r="D86" s="314" t="s">
        <v>1035</v>
      </c>
      <c r="E86" s="245" t="s">
        <v>8</v>
      </c>
      <c r="F86" s="546">
        <v>7.5</v>
      </c>
      <c r="G86" s="547"/>
      <c r="H86" s="546">
        <f>G86*F86</f>
        <v>0</v>
      </c>
    </row>
    <row r="87" spans="2:9" ht="26">
      <c r="B87" s="282" t="s">
        <v>1454</v>
      </c>
      <c r="C87" s="557" t="s">
        <v>1001</v>
      </c>
      <c r="D87" s="314" t="s">
        <v>1037</v>
      </c>
      <c r="E87" s="550" t="s">
        <v>10</v>
      </c>
      <c r="F87" s="546">
        <f>F85*2.054</f>
        <v>15.661749999999998</v>
      </c>
      <c r="G87" s="546"/>
      <c r="H87" s="546">
        <f>F87*G87</f>
        <v>0</v>
      </c>
      <c r="I87" s="101"/>
    </row>
    <row r="88" spans="2:9" ht="13">
      <c r="B88" s="282" t="s">
        <v>1455</v>
      </c>
      <c r="D88" s="552" t="s">
        <v>1038</v>
      </c>
      <c r="E88" s="550" t="s">
        <v>7</v>
      </c>
      <c r="F88" s="547">
        <v>1</v>
      </c>
      <c r="G88" s="546"/>
      <c r="H88" s="546">
        <f>F88*G88</f>
        <v>0</v>
      </c>
      <c r="I88" s="101"/>
    </row>
    <row r="89" spans="2:9" ht="13" hidden="1">
      <c r="B89" s="282" t="s">
        <v>1456</v>
      </c>
      <c r="D89" s="314"/>
      <c r="G89" s="547"/>
      <c r="H89" s="547"/>
      <c r="I89" s="101"/>
    </row>
    <row r="90" spans="2:9" ht="13" hidden="1">
      <c r="B90" s="282" t="s">
        <v>1457</v>
      </c>
      <c r="D90" s="213"/>
      <c r="G90" s="546"/>
      <c r="H90" s="546"/>
    </row>
    <row r="91" spans="2:9" ht="13" hidden="1">
      <c r="B91" s="282" t="s">
        <v>1458</v>
      </c>
      <c r="D91" s="213"/>
      <c r="G91" s="546"/>
      <c r="H91" s="546"/>
    </row>
    <row r="92" spans="2:9" ht="26">
      <c r="B92" s="282" t="s">
        <v>1459</v>
      </c>
      <c r="C92" s="557">
        <v>721290111</v>
      </c>
      <c r="D92" s="138" t="s">
        <v>1039</v>
      </c>
      <c r="E92" s="137" t="s">
        <v>2</v>
      </c>
      <c r="F92" s="547">
        <f>5.11+1.05+ 1.325 +10.7+0.7+0.5+9.1</f>
        <v>28.484999999999999</v>
      </c>
      <c r="G92" s="547"/>
      <c r="H92" s="547">
        <f t="shared" ref="H92:H99" si="2">F92*G92</f>
        <v>0</v>
      </c>
    </row>
    <row r="93" spans="2:9" ht="13">
      <c r="B93" s="282" t="s">
        <v>1460</v>
      </c>
      <c r="C93" s="557">
        <v>721290112</v>
      </c>
      <c r="D93" s="138" t="s">
        <v>1040</v>
      </c>
      <c r="E93" s="137" t="s">
        <v>2</v>
      </c>
      <c r="F93" s="547">
        <f>2.69</f>
        <v>2.69</v>
      </c>
      <c r="G93" s="547"/>
      <c r="H93" s="547">
        <f t="shared" si="2"/>
        <v>0</v>
      </c>
    </row>
    <row r="94" spans="2:9" ht="13">
      <c r="B94" s="282" t="s">
        <v>1461</v>
      </c>
      <c r="D94" s="138" t="s">
        <v>1041</v>
      </c>
      <c r="E94" s="137" t="s">
        <v>955</v>
      </c>
      <c r="F94" s="547">
        <v>2</v>
      </c>
      <c r="G94" s="547"/>
      <c r="H94" s="547">
        <f t="shared" si="2"/>
        <v>0</v>
      </c>
    </row>
    <row r="95" spans="2:9" ht="13">
      <c r="B95" s="282" t="s">
        <v>1462</v>
      </c>
      <c r="D95" s="138" t="s">
        <v>1042</v>
      </c>
      <c r="E95" s="137" t="s">
        <v>955</v>
      </c>
      <c r="F95" s="547">
        <v>1</v>
      </c>
      <c r="G95" s="547"/>
      <c r="H95" s="547">
        <f t="shared" si="2"/>
        <v>0</v>
      </c>
    </row>
    <row r="96" spans="2:9" ht="13">
      <c r="B96" s="282" t="s">
        <v>1463</v>
      </c>
      <c r="C96" s="557" t="s">
        <v>29</v>
      </c>
      <c r="D96" s="509" t="s">
        <v>973</v>
      </c>
      <c r="E96" s="245" t="s">
        <v>1</v>
      </c>
      <c r="F96" s="546">
        <v>8</v>
      </c>
      <c r="G96" s="546"/>
      <c r="H96" s="546">
        <f t="shared" si="2"/>
        <v>0</v>
      </c>
    </row>
    <row r="97" spans="2:9" ht="13">
      <c r="B97" s="282" t="s">
        <v>1464</v>
      </c>
      <c r="D97" s="509" t="s">
        <v>1043</v>
      </c>
      <c r="E97" s="245" t="s">
        <v>955</v>
      </c>
      <c r="F97" s="546">
        <v>2</v>
      </c>
      <c r="G97" s="546"/>
      <c r="H97" s="546">
        <f t="shared" si="2"/>
        <v>0</v>
      </c>
    </row>
    <row r="98" spans="2:9" ht="13">
      <c r="B98" s="282" t="s">
        <v>1465</v>
      </c>
      <c r="D98" s="138" t="s">
        <v>31</v>
      </c>
      <c r="E98" s="137" t="s">
        <v>7</v>
      </c>
      <c r="F98" s="547">
        <v>1</v>
      </c>
      <c r="G98" s="547"/>
      <c r="H98" s="547">
        <f t="shared" si="2"/>
        <v>0</v>
      </c>
    </row>
    <row r="99" spans="2:9" ht="13">
      <c r="B99" s="282" t="s">
        <v>1466</v>
      </c>
      <c r="D99" s="138" t="s">
        <v>32</v>
      </c>
      <c r="E99" s="137" t="s">
        <v>7</v>
      </c>
      <c r="F99" s="547">
        <v>1</v>
      </c>
      <c r="G99" s="547"/>
      <c r="H99" s="547">
        <f t="shared" si="2"/>
        <v>0</v>
      </c>
    </row>
    <row r="100" spans="2:9" ht="13">
      <c r="B100" s="282" t="s">
        <v>1467</v>
      </c>
      <c r="D100" s="466" t="s">
        <v>1044</v>
      </c>
      <c r="G100" s="546"/>
      <c r="H100" s="546"/>
    </row>
    <row r="101" spans="2:9" ht="39">
      <c r="B101" s="282" t="s">
        <v>1468</v>
      </c>
      <c r="C101" s="238" t="s">
        <v>1045</v>
      </c>
      <c r="D101" s="138" t="s">
        <v>1046</v>
      </c>
      <c r="E101" s="245" t="s">
        <v>2</v>
      </c>
      <c r="F101" s="546">
        <v>12.1</v>
      </c>
      <c r="G101" s="547"/>
      <c r="H101" s="547">
        <f>F101*G101</f>
        <v>0</v>
      </c>
      <c r="I101" s="101"/>
    </row>
    <row r="102" spans="2:9" ht="26">
      <c r="B102" s="282" t="s">
        <v>1469</v>
      </c>
      <c r="C102" s="557" t="s">
        <v>1001</v>
      </c>
      <c r="D102" s="138" t="s">
        <v>2532</v>
      </c>
      <c r="E102" s="245" t="s">
        <v>8</v>
      </c>
      <c r="F102" s="546">
        <f>12.1*0.8*1.5</f>
        <v>14.52</v>
      </c>
      <c r="G102" s="547"/>
      <c r="H102" s="546">
        <f>G102*F102</f>
        <v>0</v>
      </c>
    </row>
    <row r="103" spans="2:9" ht="13">
      <c r="B103" s="282" t="s">
        <v>1470</v>
      </c>
      <c r="D103" s="51" t="s">
        <v>1047</v>
      </c>
      <c r="G103" s="546"/>
      <c r="H103" s="546"/>
    </row>
    <row r="104" spans="2:9" ht="26">
      <c r="B104" s="282" t="s">
        <v>1471</v>
      </c>
      <c r="C104" s="557" t="s">
        <v>1001</v>
      </c>
      <c r="D104" s="500" t="s">
        <v>1027</v>
      </c>
      <c r="E104" s="245" t="s">
        <v>8</v>
      </c>
      <c r="F104" s="546">
        <f>F102</f>
        <v>14.52</v>
      </c>
      <c r="G104" s="547"/>
      <c r="H104" s="709">
        <f>F104*G104</f>
        <v>0</v>
      </c>
      <c r="I104" s="101"/>
    </row>
    <row r="105" spans="2:9" ht="52">
      <c r="B105" s="282" t="s">
        <v>1472</v>
      </c>
      <c r="C105" s="557" t="s">
        <v>1001</v>
      </c>
      <c r="D105" s="500" t="s">
        <v>2641</v>
      </c>
      <c r="E105" s="245" t="s">
        <v>8</v>
      </c>
      <c r="F105" s="546">
        <f>F104</f>
        <v>14.52</v>
      </c>
      <c r="G105" s="547"/>
      <c r="H105" s="709">
        <f>F105*G105</f>
        <v>0</v>
      </c>
      <c r="I105" s="101"/>
    </row>
    <row r="106" spans="2:9" ht="13">
      <c r="B106" s="282" t="s">
        <v>1473</v>
      </c>
      <c r="C106" s="557" t="s">
        <v>1001</v>
      </c>
      <c r="D106" s="138" t="s">
        <v>1028</v>
      </c>
      <c r="E106" s="137" t="s">
        <v>10</v>
      </c>
      <c r="F106" s="547">
        <f>F104*2</f>
        <v>29.04</v>
      </c>
      <c r="G106" s="547"/>
      <c r="H106" s="547">
        <f>F106*G106</f>
        <v>0</v>
      </c>
      <c r="I106" s="548"/>
    </row>
    <row r="107" spans="2:9" ht="26">
      <c r="B107" s="282" t="s">
        <v>1474</v>
      </c>
      <c r="C107" s="557" t="s">
        <v>1001</v>
      </c>
      <c r="D107" s="549" t="s">
        <v>1048</v>
      </c>
      <c r="E107" s="550" t="s">
        <v>4</v>
      </c>
      <c r="F107" s="546">
        <f>12.1*0.8</f>
        <v>9.68</v>
      </c>
      <c r="G107" s="546"/>
      <c r="H107" s="547">
        <f>F107*G107</f>
        <v>0</v>
      </c>
    </row>
    <row r="108" spans="2:9" ht="26">
      <c r="B108" s="282" t="s">
        <v>1475</v>
      </c>
      <c r="C108" s="557" t="s">
        <v>1001</v>
      </c>
      <c r="D108" s="314" t="s">
        <v>1030</v>
      </c>
      <c r="E108" s="550" t="s">
        <v>8</v>
      </c>
      <c r="F108" s="546">
        <f>12.1*0.8*0.15</f>
        <v>1.452</v>
      </c>
      <c r="G108" s="546"/>
      <c r="H108" s="546">
        <f>F108*G108</f>
        <v>0</v>
      </c>
      <c r="I108" s="101"/>
    </row>
    <row r="109" spans="2:9" ht="13">
      <c r="B109" s="282" t="s">
        <v>1476</v>
      </c>
      <c r="C109" s="557" t="s">
        <v>1001</v>
      </c>
      <c r="D109" s="51" t="s">
        <v>1049</v>
      </c>
      <c r="G109" s="546"/>
      <c r="H109" s="546"/>
    </row>
    <row r="110" spans="2:9" ht="21" customHeight="1">
      <c r="B110" s="282" t="s">
        <v>1477</v>
      </c>
      <c r="C110" s="557" t="s">
        <v>1001</v>
      </c>
      <c r="D110" s="549" t="s">
        <v>1032</v>
      </c>
      <c r="E110" s="550" t="s">
        <v>8</v>
      </c>
      <c r="F110" s="546">
        <f>12.1*0.8*0.35</f>
        <v>3.3879999999999999</v>
      </c>
      <c r="G110" s="546"/>
      <c r="H110" s="546">
        <f>G110*F110</f>
        <v>0</v>
      </c>
      <c r="I110" s="101"/>
    </row>
    <row r="111" spans="2:9" ht="13">
      <c r="B111" s="282" t="s">
        <v>1478</v>
      </c>
      <c r="D111" s="553" t="s">
        <v>1050</v>
      </c>
      <c r="E111" s="554"/>
      <c r="F111" s="555"/>
      <c r="G111" s="546"/>
      <c r="H111" s="546"/>
      <c r="I111" s="101"/>
    </row>
    <row r="112" spans="2:9" ht="28.75" customHeight="1">
      <c r="B112" s="282" t="s">
        <v>1479</v>
      </c>
      <c r="D112" s="213" t="s">
        <v>1051</v>
      </c>
      <c r="E112" s="550"/>
      <c r="G112" s="546"/>
      <c r="H112" s="546"/>
    </row>
    <row r="113" spans="2:9" ht="13">
      <c r="B113" s="282" t="s">
        <v>1480</v>
      </c>
      <c r="C113" s="557" t="s">
        <v>1001</v>
      </c>
      <c r="D113" s="549" t="s">
        <v>1034</v>
      </c>
      <c r="E113" s="550" t="s">
        <v>8</v>
      </c>
      <c r="F113" s="546">
        <f>12.1*0.8*1</f>
        <v>9.68</v>
      </c>
      <c r="G113" s="546"/>
      <c r="H113" s="546">
        <f>G113*F113</f>
        <v>0</v>
      </c>
    </row>
    <row r="114" spans="2:9" ht="26">
      <c r="B114" s="282" t="s">
        <v>1481</v>
      </c>
      <c r="C114" s="557" t="s">
        <v>1001</v>
      </c>
      <c r="D114" s="314" t="s">
        <v>1052</v>
      </c>
      <c r="G114" s="547"/>
      <c r="H114" s="547"/>
    </row>
    <row r="115" spans="2:9" ht="39">
      <c r="B115" s="282" t="s">
        <v>1482</v>
      </c>
      <c r="C115" s="557" t="s">
        <v>1001</v>
      </c>
      <c r="D115" s="314" t="s">
        <v>1053</v>
      </c>
      <c r="E115" s="550" t="s">
        <v>10</v>
      </c>
      <c r="F115" s="546">
        <f>F113*2.054</f>
        <v>19.882719999999999</v>
      </c>
      <c r="G115" s="546"/>
      <c r="H115" s="546">
        <f>F115*G115</f>
        <v>0</v>
      </c>
      <c r="I115" s="101"/>
    </row>
    <row r="116" spans="2:9" ht="13">
      <c r="B116" s="282" t="s">
        <v>1483</v>
      </c>
      <c r="C116" s="557" t="s">
        <v>1001</v>
      </c>
      <c r="D116" s="213" t="s">
        <v>1054</v>
      </c>
      <c r="E116" s="245" t="s">
        <v>7</v>
      </c>
      <c r="F116" s="546">
        <v>1</v>
      </c>
      <c r="G116" s="546"/>
      <c r="H116" s="546">
        <f>F116*G116</f>
        <v>0</v>
      </c>
    </row>
    <row r="117" spans="2:9" ht="39">
      <c r="B117" s="282" t="s">
        <v>1484</v>
      </c>
      <c r="D117" s="314" t="s">
        <v>1055</v>
      </c>
      <c r="E117" s="245" t="s">
        <v>7</v>
      </c>
      <c r="F117" s="546">
        <v>1</v>
      </c>
      <c r="G117" s="546"/>
      <c r="H117" s="546">
        <f>F117*G117</f>
        <v>0</v>
      </c>
    </row>
    <row r="118" spans="2:9" ht="26">
      <c r="B118" s="282" t="s">
        <v>1485</v>
      </c>
      <c r="D118" s="213" t="s">
        <v>1056</v>
      </c>
      <c r="G118" s="546"/>
      <c r="H118" s="546"/>
    </row>
    <row r="119" spans="2:9" ht="13">
      <c r="B119" s="282" t="s">
        <v>1486</v>
      </c>
      <c r="C119" s="557">
        <v>722174024</v>
      </c>
      <c r="D119" s="51" t="s">
        <v>1057</v>
      </c>
      <c r="E119" s="245" t="s">
        <v>15</v>
      </c>
      <c r="F119" s="546">
        <v>4</v>
      </c>
      <c r="G119" s="546"/>
      <c r="H119" s="546">
        <f t="shared" ref="H119:H128" si="3">F119*G119</f>
        <v>0</v>
      </c>
    </row>
    <row r="120" spans="2:9" ht="13">
      <c r="B120" s="282" t="s">
        <v>1487</v>
      </c>
      <c r="C120" s="557">
        <v>722174022</v>
      </c>
      <c r="D120" s="213" t="s">
        <v>1058</v>
      </c>
      <c r="E120" s="245" t="s">
        <v>15</v>
      </c>
      <c r="F120" s="546">
        <v>36</v>
      </c>
      <c r="G120" s="546"/>
      <c r="H120" s="546">
        <f t="shared" si="3"/>
        <v>0</v>
      </c>
    </row>
    <row r="121" spans="2:9" ht="13">
      <c r="B121" s="282" t="s">
        <v>1488</v>
      </c>
      <c r="C121" s="557" t="s">
        <v>1001</v>
      </c>
      <c r="D121" s="51" t="s">
        <v>1059</v>
      </c>
      <c r="E121" s="245" t="s">
        <v>7</v>
      </c>
      <c r="F121" s="546">
        <v>1</v>
      </c>
      <c r="G121" s="546"/>
      <c r="H121" s="546">
        <f t="shared" si="3"/>
        <v>0</v>
      </c>
    </row>
    <row r="122" spans="2:9" ht="26">
      <c r="B122" s="282" t="s">
        <v>1489</v>
      </c>
      <c r="C122" s="557" t="s">
        <v>1001</v>
      </c>
      <c r="D122" s="213" t="s">
        <v>1060</v>
      </c>
      <c r="E122" s="245" t="s">
        <v>7</v>
      </c>
      <c r="F122" s="546">
        <v>2</v>
      </c>
      <c r="G122" s="546"/>
      <c r="H122" s="546">
        <f t="shared" si="3"/>
        <v>0</v>
      </c>
    </row>
    <row r="123" spans="2:9" ht="13">
      <c r="B123" s="282" t="s">
        <v>1490</v>
      </c>
      <c r="D123" s="51" t="s">
        <v>1061</v>
      </c>
      <c r="E123" s="245" t="s">
        <v>7</v>
      </c>
      <c r="F123" s="546">
        <v>8</v>
      </c>
      <c r="G123" s="546"/>
      <c r="H123" s="546">
        <f t="shared" si="3"/>
        <v>0</v>
      </c>
    </row>
    <row r="124" spans="2:9" ht="13">
      <c r="B124" s="282" t="s">
        <v>1491</v>
      </c>
      <c r="C124" s="557" t="s">
        <v>1001</v>
      </c>
      <c r="D124" s="51" t="s">
        <v>1062</v>
      </c>
      <c r="E124" s="245" t="s">
        <v>7</v>
      </c>
      <c r="F124" s="546">
        <v>1</v>
      </c>
      <c r="G124" s="546"/>
      <c r="H124" s="546">
        <f t="shared" si="3"/>
        <v>0</v>
      </c>
    </row>
    <row r="125" spans="2:9" ht="26">
      <c r="B125" s="282" t="s">
        <v>1492</v>
      </c>
      <c r="C125" s="557" t="s">
        <v>1001</v>
      </c>
      <c r="D125" s="213" t="s">
        <v>1063</v>
      </c>
      <c r="E125" s="245" t="s">
        <v>7</v>
      </c>
      <c r="F125" s="546">
        <v>1</v>
      </c>
      <c r="G125" s="546"/>
      <c r="H125" s="546">
        <f t="shared" si="3"/>
        <v>0</v>
      </c>
    </row>
    <row r="126" spans="2:9" ht="26">
      <c r="B126" s="282" t="s">
        <v>1493</v>
      </c>
      <c r="C126" s="557" t="s">
        <v>1001</v>
      </c>
      <c r="D126" s="138" t="s">
        <v>1064</v>
      </c>
      <c r="E126" s="245" t="s">
        <v>7</v>
      </c>
      <c r="F126" s="546">
        <v>6</v>
      </c>
      <c r="G126" s="547"/>
      <c r="H126" s="546">
        <f t="shared" si="3"/>
        <v>0</v>
      </c>
      <c r="I126" s="101"/>
    </row>
    <row r="127" spans="2:9" ht="13">
      <c r="B127" s="282" t="s">
        <v>1494</v>
      </c>
      <c r="C127" s="557">
        <v>899721111</v>
      </c>
      <c r="D127" s="138" t="s">
        <v>1065</v>
      </c>
      <c r="E127" s="245" t="s">
        <v>2</v>
      </c>
      <c r="F127" s="546">
        <v>42</v>
      </c>
      <c r="G127" s="547"/>
      <c r="H127" s="547">
        <f t="shared" si="3"/>
        <v>0</v>
      </c>
      <c r="I127" s="101"/>
    </row>
    <row r="128" spans="2:9" ht="13">
      <c r="B128" s="282" t="s">
        <v>1495</v>
      </c>
      <c r="C128" s="557">
        <v>899722114</v>
      </c>
      <c r="D128" s="138" t="s">
        <v>1066</v>
      </c>
      <c r="E128" s="245" t="s">
        <v>2</v>
      </c>
      <c r="F128" s="546">
        <v>12.1</v>
      </c>
      <c r="G128" s="547"/>
      <c r="H128" s="546">
        <f t="shared" si="3"/>
        <v>0</v>
      </c>
      <c r="I128" s="101"/>
    </row>
    <row r="129" spans="2:9" ht="13">
      <c r="B129" s="282" t="s">
        <v>1496</v>
      </c>
      <c r="D129" s="138" t="s">
        <v>1067</v>
      </c>
      <c r="G129" s="546"/>
      <c r="H129" s="546"/>
      <c r="I129" s="101"/>
    </row>
    <row r="130" spans="2:9" ht="13">
      <c r="B130" s="282" t="s">
        <v>1497</v>
      </c>
      <c r="C130" s="557">
        <v>722181211</v>
      </c>
      <c r="D130" s="138" t="s">
        <v>1068</v>
      </c>
      <c r="E130" s="245" t="s">
        <v>15</v>
      </c>
      <c r="F130" s="546">
        <v>50</v>
      </c>
      <c r="G130" s="546"/>
      <c r="H130" s="547">
        <f t="shared" ref="H130:H141" si="4">F130*G130</f>
        <v>0</v>
      </c>
      <c r="I130" s="101"/>
    </row>
    <row r="131" spans="2:9" ht="13">
      <c r="B131" s="282" t="s">
        <v>1498</v>
      </c>
      <c r="C131" s="557" t="s">
        <v>1001</v>
      </c>
      <c r="D131" s="138" t="s">
        <v>1038</v>
      </c>
      <c r="E131" s="245" t="s">
        <v>7</v>
      </c>
      <c r="F131" s="546">
        <v>1</v>
      </c>
      <c r="G131" s="546"/>
      <c r="H131" s="547">
        <f t="shared" si="4"/>
        <v>0</v>
      </c>
    </row>
    <row r="132" spans="2:9" ht="26">
      <c r="B132" s="282" t="s">
        <v>1499</v>
      </c>
      <c r="C132" s="557">
        <v>892351111</v>
      </c>
      <c r="D132" s="138" t="s">
        <v>1069</v>
      </c>
      <c r="E132" s="245" t="s">
        <v>2</v>
      </c>
      <c r="F132" s="546">
        <v>150.47</v>
      </c>
      <c r="G132" s="546"/>
      <c r="H132" s="547">
        <f t="shared" si="4"/>
        <v>0</v>
      </c>
    </row>
    <row r="133" spans="2:9" ht="13">
      <c r="B133" s="282" t="s">
        <v>1500</v>
      </c>
      <c r="C133" s="557" t="s">
        <v>1001</v>
      </c>
      <c r="D133" s="509" t="s">
        <v>1070</v>
      </c>
      <c r="E133" s="245" t="s">
        <v>7</v>
      </c>
      <c r="F133" s="546">
        <v>1</v>
      </c>
      <c r="G133" s="546"/>
      <c r="H133" s="547">
        <f t="shared" si="4"/>
        <v>0</v>
      </c>
    </row>
    <row r="134" spans="2:9" ht="26">
      <c r="B134" s="282" t="s">
        <v>1501</v>
      </c>
      <c r="C134" s="557">
        <v>892273922</v>
      </c>
      <c r="D134" s="138" t="s">
        <v>1071</v>
      </c>
      <c r="E134" s="245" t="s">
        <v>2</v>
      </c>
      <c r="F134" s="546">
        <f>12.1+1.5+ (1.5+1.5+3.5+3.5+0.5+0.5*8+2)+ (3.5+0.5+0.5+0.5*4+2)</f>
        <v>38.6</v>
      </c>
      <c r="G134" s="546"/>
      <c r="H134" s="546">
        <f t="shared" si="4"/>
        <v>0</v>
      </c>
    </row>
    <row r="135" spans="2:9" ht="26">
      <c r="B135" s="282" t="s">
        <v>1502</v>
      </c>
      <c r="C135" s="557">
        <v>892273932</v>
      </c>
      <c r="D135" s="138" t="s">
        <v>1072</v>
      </c>
      <c r="E135" s="245" t="s">
        <v>2</v>
      </c>
      <c r="F135" s="546">
        <f>12.1+1.5+ (1.5+1.5+3.5+3.5+0.5+0.5*8+2)+ (3.5+0.5+0.5+0.5*4+2)</f>
        <v>38.6</v>
      </c>
      <c r="G135" s="546"/>
      <c r="H135" s="546">
        <f t="shared" si="4"/>
        <v>0</v>
      </c>
    </row>
    <row r="136" spans="2:9" ht="26">
      <c r="B136" s="282" t="s">
        <v>1503</v>
      </c>
      <c r="D136" s="138" t="s">
        <v>1073</v>
      </c>
      <c r="E136" s="245" t="s">
        <v>2</v>
      </c>
      <c r="F136" s="546">
        <f>12.1+1.5+ (1.5+1.5+3.5+3.5+0.5+0.5*8+2)+ (3.5+0.5+0.5+0.5*4+2)</f>
        <v>38.6</v>
      </c>
      <c r="G136" s="546"/>
      <c r="H136" s="546">
        <f t="shared" si="4"/>
        <v>0</v>
      </c>
    </row>
    <row r="137" spans="2:9" ht="13">
      <c r="B137" s="282" t="s">
        <v>1504</v>
      </c>
      <c r="C137" s="557" t="s">
        <v>29</v>
      </c>
      <c r="D137" s="509" t="s">
        <v>973</v>
      </c>
      <c r="E137" s="245" t="s">
        <v>1</v>
      </c>
      <c r="F137" s="546">
        <v>8</v>
      </c>
      <c r="G137" s="546"/>
      <c r="H137" s="546">
        <f t="shared" si="4"/>
        <v>0</v>
      </c>
    </row>
    <row r="138" spans="2:9" ht="13">
      <c r="B138" s="282" t="s">
        <v>1505</v>
      </c>
      <c r="D138" s="509" t="s">
        <v>1043</v>
      </c>
      <c r="E138" s="245" t="s">
        <v>955</v>
      </c>
      <c r="F138" s="546">
        <v>2</v>
      </c>
      <c r="G138" s="546"/>
      <c r="H138" s="546">
        <f t="shared" si="4"/>
        <v>0</v>
      </c>
    </row>
    <row r="139" spans="2:9" ht="26">
      <c r="B139" s="282" t="s">
        <v>1506</v>
      </c>
      <c r="C139" s="557">
        <v>733190108</v>
      </c>
      <c r="D139" s="138" t="s">
        <v>1074</v>
      </c>
      <c r="E139" s="245" t="s">
        <v>2</v>
      </c>
      <c r="F139" s="546">
        <f>12.1+1.5+ (1.5+1.5+3.5+3.5+0.5+0.5*8+2)+ (3.5+0.5+0.5+0.5*4+2)</f>
        <v>38.6</v>
      </c>
      <c r="G139" s="546"/>
      <c r="H139" s="546">
        <f t="shared" si="4"/>
        <v>0</v>
      </c>
    </row>
    <row r="140" spans="2:9" ht="13">
      <c r="B140" s="282" t="s">
        <v>1507</v>
      </c>
      <c r="D140" s="314" t="s">
        <v>31</v>
      </c>
      <c r="E140" s="137" t="s">
        <v>7</v>
      </c>
      <c r="F140" s="547">
        <v>1</v>
      </c>
      <c r="G140" s="547"/>
      <c r="H140" s="547">
        <f t="shared" si="4"/>
        <v>0</v>
      </c>
    </row>
    <row r="141" spans="2:9" ht="13">
      <c r="B141" s="282" t="s">
        <v>1508</v>
      </c>
      <c r="D141" s="314" t="s">
        <v>32</v>
      </c>
      <c r="E141" s="137" t="s">
        <v>7</v>
      </c>
      <c r="F141" s="547">
        <v>1</v>
      </c>
      <c r="G141" s="547"/>
      <c r="H141" s="547">
        <f t="shared" si="4"/>
        <v>0</v>
      </c>
    </row>
    <row r="142" spans="2:9" ht="13">
      <c r="B142" s="282" t="s">
        <v>1509</v>
      </c>
      <c r="C142" s="704"/>
      <c r="D142" s="645" t="s">
        <v>1075</v>
      </c>
      <c r="E142" s="707"/>
      <c r="F142" s="708"/>
      <c r="G142" s="708"/>
      <c r="H142" s="708"/>
    </row>
    <row r="143" spans="2:9" ht="13">
      <c r="B143" s="282" t="s">
        <v>1510</v>
      </c>
      <c r="C143" s="557">
        <v>721173738</v>
      </c>
      <c r="D143" s="213" t="s">
        <v>1076</v>
      </c>
      <c r="E143" s="245" t="s">
        <v>15</v>
      </c>
      <c r="F143" s="546">
        <f>(9.5+26)*1.2</f>
        <v>42.6</v>
      </c>
      <c r="G143" s="546"/>
      <c r="H143" s="709">
        <f t="shared" ref="H143:H149" si="5">F143*G143</f>
        <v>0</v>
      </c>
    </row>
    <row r="144" spans="2:9" ht="13">
      <c r="B144" s="282" t="s">
        <v>1511</v>
      </c>
      <c r="C144" s="557" t="s">
        <v>1001</v>
      </c>
      <c r="D144" s="51" t="s">
        <v>1077</v>
      </c>
      <c r="E144" s="245" t="s">
        <v>7</v>
      </c>
      <c r="F144" s="546">
        <v>2</v>
      </c>
      <c r="G144" s="546"/>
      <c r="H144" s="709">
        <f t="shared" si="5"/>
        <v>0</v>
      </c>
    </row>
    <row r="145" spans="2:9" ht="52">
      <c r="B145" s="282" t="s">
        <v>1512</v>
      </c>
      <c r="C145" s="557" t="s">
        <v>1001</v>
      </c>
      <c r="D145" s="558" t="s">
        <v>1078</v>
      </c>
      <c r="E145" s="245" t="s">
        <v>7</v>
      </c>
      <c r="F145" s="546">
        <v>1</v>
      </c>
      <c r="G145" s="546"/>
      <c r="H145" s="709">
        <f t="shared" si="5"/>
        <v>0</v>
      </c>
    </row>
    <row r="146" spans="2:9" ht="39">
      <c r="B146" s="282" t="s">
        <v>1513</v>
      </c>
      <c r="C146" s="557" t="s">
        <v>1001</v>
      </c>
      <c r="D146" s="213" t="s">
        <v>1079</v>
      </c>
      <c r="E146" s="245" t="s">
        <v>7</v>
      </c>
      <c r="F146" s="546">
        <v>1</v>
      </c>
      <c r="G146" s="546"/>
      <c r="H146" s="709">
        <f>F146*G146</f>
        <v>0</v>
      </c>
    </row>
    <row r="147" spans="2:9" ht="13">
      <c r="B147" s="282" t="s">
        <v>1514</v>
      </c>
      <c r="C147" s="557" t="s">
        <v>1001</v>
      </c>
      <c r="D147" s="213" t="s">
        <v>1080</v>
      </c>
      <c r="E147" s="245" t="s">
        <v>7</v>
      </c>
      <c r="F147" s="546">
        <v>2</v>
      </c>
      <c r="G147" s="546"/>
      <c r="H147" s="709">
        <f t="shared" si="5"/>
        <v>0</v>
      </c>
    </row>
    <row r="148" spans="2:9" ht="13">
      <c r="B148" s="282" t="s">
        <v>1515</v>
      </c>
      <c r="C148" s="704"/>
      <c r="D148" s="710" t="s">
        <v>0</v>
      </c>
      <c r="E148" s="707"/>
      <c r="F148" s="708"/>
      <c r="G148" s="708"/>
      <c r="H148" s="711"/>
    </row>
    <row r="149" spans="2:9" ht="13">
      <c r="B149" s="282" t="s">
        <v>1516</v>
      </c>
      <c r="C149" s="557" t="s">
        <v>1001</v>
      </c>
      <c r="D149" s="138" t="s">
        <v>1081</v>
      </c>
      <c r="E149" s="245" t="s">
        <v>8</v>
      </c>
      <c r="F149" s="546">
        <f>(26+9.5)*0.8*1.2</f>
        <v>34.08</v>
      </c>
      <c r="G149" s="547"/>
      <c r="H149" s="709">
        <f t="shared" si="5"/>
        <v>0</v>
      </c>
    </row>
    <row r="150" spans="2:9" ht="13">
      <c r="B150" s="282" t="s">
        <v>1517</v>
      </c>
      <c r="D150" s="138" t="s">
        <v>1082</v>
      </c>
      <c r="G150" s="547"/>
      <c r="H150" s="709"/>
    </row>
    <row r="151" spans="2:9" ht="26">
      <c r="B151" s="282" t="s">
        <v>1518</v>
      </c>
      <c r="C151" s="557" t="s">
        <v>1001</v>
      </c>
      <c r="D151" s="500" t="s">
        <v>1027</v>
      </c>
      <c r="E151" s="245" t="s">
        <v>8</v>
      </c>
      <c r="F151" s="546">
        <f>F149</f>
        <v>34.08</v>
      </c>
      <c r="G151" s="547"/>
      <c r="H151" s="709">
        <f>F151*G151</f>
        <v>0</v>
      </c>
      <c r="I151" s="101"/>
    </row>
    <row r="152" spans="2:9" ht="52">
      <c r="B152" s="282" t="s">
        <v>1519</v>
      </c>
      <c r="C152" s="557" t="s">
        <v>1001</v>
      </c>
      <c r="D152" s="500" t="s">
        <v>2641</v>
      </c>
      <c r="E152" s="245" t="s">
        <v>8</v>
      </c>
      <c r="F152" s="546">
        <f>F151</f>
        <v>34.08</v>
      </c>
      <c r="G152" s="547"/>
      <c r="H152" s="709">
        <f>F152*G152</f>
        <v>0</v>
      </c>
      <c r="I152" s="101"/>
    </row>
    <row r="153" spans="2:9" ht="13">
      <c r="B153" s="282" t="s">
        <v>1520</v>
      </c>
      <c r="C153" s="557" t="s">
        <v>1001</v>
      </c>
      <c r="D153" s="138" t="s">
        <v>1028</v>
      </c>
      <c r="E153" s="137" t="s">
        <v>10</v>
      </c>
      <c r="F153" s="547">
        <f>F151*2</f>
        <v>68.16</v>
      </c>
      <c r="G153" s="547"/>
      <c r="H153" s="547">
        <f>F153*G153</f>
        <v>0</v>
      </c>
      <c r="I153" s="548"/>
    </row>
    <row r="154" spans="2:9" ht="26">
      <c r="B154" s="282" t="s">
        <v>1521</v>
      </c>
      <c r="C154" s="557" t="s">
        <v>1001</v>
      </c>
      <c r="D154" s="549" t="s">
        <v>1083</v>
      </c>
      <c r="E154" s="550" t="s">
        <v>4</v>
      </c>
      <c r="F154" s="546">
        <f>(26+9.5)*0.8</f>
        <v>28.400000000000002</v>
      </c>
      <c r="G154" s="546"/>
      <c r="H154" s="547">
        <f>F154*G154</f>
        <v>0</v>
      </c>
    </row>
    <row r="155" spans="2:9" ht="26">
      <c r="B155" s="282" t="s">
        <v>1522</v>
      </c>
      <c r="C155" s="557" t="s">
        <v>1001</v>
      </c>
      <c r="D155" s="314" t="s">
        <v>1030</v>
      </c>
      <c r="E155" s="550" t="s">
        <v>8</v>
      </c>
      <c r="F155" s="546">
        <f>(26+9.5)*0.8*0.15</f>
        <v>4.26</v>
      </c>
      <c r="G155" s="546"/>
      <c r="H155" s="546">
        <f>F155*G155</f>
        <v>0</v>
      </c>
      <c r="I155" s="101"/>
    </row>
    <row r="156" spans="2:9" ht="26">
      <c r="B156" s="282" t="s">
        <v>1523</v>
      </c>
      <c r="D156" s="213" t="s">
        <v>1084</v>
      </c>
      <c r="G156" s="546"/>
      <c r="H156" s="546"/>
    </row>
    <row r="157" spans="2:9" ht="26">
      <c r="B157" s="282" t="s">
        <v>1524</v>
      </c>
      <c r="C157" s="557" t="s">
        <v>1001</v>
      </c>
      <c r="D157" s="549" t="s">
        <v>1032</v>
      </c>
      <c r="E157" s="550" t="s">
        <v>8</v>
      </c>
      <c r="F157" s="546">
        <f>(26+9.5)*0.8*0.3</f>
        <v>8.52</v>
      </c>
      <c r="G157" s="546"/>
      <c r="H157" s="546">
        <f>G157*F157</f>
        <v>0</v>
      </c>
      <c r="I157" s="101"/>
    </row>
    <row r="158" spans="2:9" ht="52">
      <c r="B158" s="282" t="s">
        <v>1525</v>
      </c>
      <c r="C158" s="557" t="s">
        <v>1001</v>
      </c>
      <c r="D158" s="213" t="s">
        <v>1085</v>
      </c>
      <c r="E158" s="245" t="s">
        <v>8</v>
      </c>
      <c r="F158" s="546">
        <v>10.5</v>
      </c>
      <c r="G158" s="546"/>
      <c r="H158" s="546">
        <f>G158*F158</f>
        <v>0</v>
      </c>
      <c r="I158" s="559"/>
    </row>
    <row r="159" spans="2:9" ht="39">
      <c r="B159" s="282" t="s">
        <v>1526</v>
      </c>
      <c r="C159" s="557" t="s">
        <v>1001</v>
      </c>
      <c r="D159" s="549" t="s">
        <v>1086</v>
      </c>
      <c r="E159" s="550" t="s">
        <v>8</v>
      </c>
      <c r="F159" s="546">
        <f>(26+9.5)*0.8*0.75</f>
        <v>21.3</v>
      </c>
      <c r="G159" s="546"/>
      <c r="H159" s="546">
        <f>G159*F159</f>
        <v>0</v>
      </c>
    </row>
    <row r="160" spans="2:9" ht="26">
      <c r="B160" s="282" t="s">
        <v>1527</v>
      </c>
      <c r="C160" s="557" t="s">
        <v>1036</v>
      </c>
      <c r="D160" s="314" t="s">
        <v>1087</v>
      </c>
      <c r="E160" s="550" t="s">
        <v>10</v>
      </c>
      <c r="F160" s="546">
        <f>F159*2.054</f>
        <v>43.7502</v>
      </c>
      <c r="G160" s="546"/>
      <c r="H160" s="546">
        <f>F160*G160</f>
        <v>0</v>
      </c>
      <c r="I160" s="101"/>
    </row>
    <row r="161" spans="2:9" ht="14">
      <c r="B161" s="282" t="s">
        <v>1528</v>
      </c>
      <c r="C161" s="649"/>
      <c r="D161" s="650" t="s">
        <v>2672</v>
      </c>
      <c r="E161" s="651"/>
      <c r="F161" s="652"/>
      <c r="G161" s="653"/>
      <c r="H161" s="654"/>
      <c r="I161" s="101"/>
    </row>
    <row r="162" spans="2:9" ht="13" hidden="1">
      <c r="B162" s="282" t="s">
        <v>1529</v>
      </c>
      <c r="D162" s="314"/>
      <c r="G162" s="547"/>
      <c r="H162" s="547"/>
      <c r="I162" s="101"/>
    </row>
    <row r="163" spans="2:9" ht="13" hidden="1">
      <c r="B163" s="282" t="s">
        <v>1530</v>
      </c>
      <c r="D163" s="213"/>
      <c r="G163" s="546"/>
      <c r="H163" s="546"/>
    </row>
    <row r="164" spans="2:9" ht="13">
      <c r="B164" s="282" t="s">
        <v>1531</v>
      </c>
      <c r="C164" s="557" t="s">
        <v>29</v>
      </c>
      <c r="D164" s="509" t="s">
        <v>973</v>
      </c>
      <c r="E164" s="245" t="s">
        <v>1</v>
      </c>
      <c r="F164" s="546">
        <v>12</v>
      </c>
      <c r="G164" s="546"/>
      <c r="H164" s="546">
        <f>F164*G164</f>
        <v>0</v>
      </c>
    </row>
    <row r="165" spans="2:9" ht="13">
      <c r="B165" s="282" t="s">
        <v>1532</v>
      </c>
      <c r="C165" s="557" t="s">
        <v>1001</v>
      </c>
      <c r="D165" s="509" t="s">
        <v>1043</v>
      </c>
      <c r="E165" s="245" t="s">
        <v>955</v>
      </c>
      <c r="F165" s="546">
        <v>1</v>
      </c>
      <c r="G165" s="546"/>
      <c r="H165" s="546">
        <f>F165*G165</f>
        <v>0</v>
      </c>
    </row>
    <row r="166" spans="2:9" ht="13">
      <c r="B166" s="282" t="s">
        <v>1533</v>
      </c>
      <c r="C166" s="557">
        <v>733190108</v>
      </c>
      <c r="D166" s="138" t="s">
        <v>1088</v>
      </c>
      <c r="E166" s="245" t="s">
        <v>2</v>
      </c>
      <c r="F166" s="546">
        <f>26+9.5</f>
        <v>35.5</v>
      </c>
      <c r="G166" s="546"/>
      <c r="H166" s="546">
        <f>F166*G166</f>
        <v>0</v>
      </c>
    </row>
    <row r="167" spans="2:9" ht="13">
      <c r="B167" s="282" t="s">
        <v>1534</v>
      </c>
      <c r="C167" s="557" t="s">
        <v>1001</v>
      </c>
      <c r="D167" s="314" t="s">
        <v>31</v>
      </c>
      <c r="E167" s="137" t="s">
        <v>7</v>
      </c>
      <c r="F167" s="547">
        <v>1</v>
      </c>
      <c r="G167" s="547"/>
      <c r="H167" s="547">
        <f>F167*G167</f>
        <v>0</v>
      </c>
    </row>
    <row r="168" spans="2:9" ht="13">
      <c r="B168" s="282" t="s">
        <v>1535</v>
      </c>
      <c r="C168" s="557" t="s">
        <v>1001</v>
      </c>
      <c r="D168" s="314" t="s">
        <v>32</v>
      </c>
      <c r="E168" s="137" t="s">
        <v>7</v>
      </c>
      <c r="F168" s="547">
        <v>1</v>
      </c>
      <c r="G168" s="547"/>
      <c r="H168" s="547">
        <f>F168*G168</f>
        <v>0</v>
      </c>
    </row>
    <row r="169" spans="2:9">
      <c r="I169" s="240"/>
    </row>
  </sheetData>
  <phoneticPr fontId="63" type="noConversion"/>
  <printOptions gridLines="1"/>
  <pageMargins left="0.31496062992125984" right="0.31496062992125984" top="0.59055118110236227" bottom="0.59055118110236227" header="0.31496062992125984" footer="0.31496062992125984"/>
  <pageSetup scale="82" fitToHeight="100" orientation="portrait" r:id="rId1"/>
  <headerFooter>
    <oddFooter>&amp;C&amp;P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118"/>
  <sheetViews>
    <sheetView topLeftCell="A31" workbookViewId="0">
      <selection activeCell="F39" sqref="F39:F118"/>
    </sheetView>
  </sheetViews>
  <sheetFormatPr baseColWidth="10" defaultColWidth="8.83203125" defaultRowHeight="12"/>
  <cols>
    <col min="1" max="1" width="5.1640625" style="461" customWidth="1"/>
    <col min="2" max="2" width="7.83203125" style="556" customWidth="1"/>
    <col min="3" max="3" width="65.6640625" style="461" customWidth="1"/>
    <col min="4" max="5" width="8.83203125" style="461"/>
    <col min="6" max="6" width="9.83203125" style="461" customWidth="1"/>
    <col min="7" max="7" width="11.33203125" style="461" bestFit="1" customWidth="1"/>
    <col min="8" max="16384" width="8.83203125" style="461"/>
  </cols>
  <sheetData>
    <row r="1" spans="1:7" ht="15">
      <c r="A1" s="282"/>
      <c r="B1" s="138"/>
      <c r="C1" s="78" t="s">
        <v>974</v>
      </c>
      <c r="D1" s="200"/>
      <c r="E1" s="543"/>
      <c r="F1" s="560"/>
      <c r="G1" s="544"/>
    </row>
    <row r="2" spans="1:7" ht="14">
      <c r="A2" s="282"/>
      <c r="B2" s="138"/>
      <c r="C2" s="152" t="s">
        <v>2578</v>
      </c>
      <c r="D2" s="200"/>
      <c r="E2" s="543"/>
      <c r="F2" s="560"/>
      <c r="G2" s="544"/>
    </row>
    <row r="3" spans="1:7">
      <c r="A3" s="282"/>
      <c r="B3" s="138"/>
      <c r="C3" s="77"/>
      <c r="D3" s="200"/>
      <c r="E3" s="543"/>
      <c r="F3" s="560"/>
      <c r="G3" s="544"/>
    </row>
    <row r="4" spans="1:7" ht="13">
      <c r="A4" s="282"/>
      <c r="B4" s="138"/>
      <c r="C4" s="174" t="s">
        <v>947</v>
      </c>
      <c r="D4" s="200"/>
      <c r="E4" s="543"/>
      <c r="F4" s="560"/>
      <c r="G4" s="544"/>
    </row>
    <row r="5" spans="1:7" ht="13">
      <c r="A5" s="282"/>
      <c r="B5" s="138"/>
      <c r="C5" s="77" t="s">
        <v>975</v>
      </c>
      <c r="D5" s="200"/>
      <c r="E5" s="543"/>
      <c r="F5" s="560"/>
      <c r="G5" s="544"/>
    </row>
    <row r="6" spans="1:7">
      <c r="A6" s="282"/>
      <c r="B6" s="459"/>
      <c r="C6" s="77"/>
      <c r="D6" s="200"/>
      <c r="E6" s="543"/>
      <c r="F6" s="560"/>
      <c r="G6" s="544"/>
    </row>
    <row r="7" spans="1:7">
      <c r="A7" s="282"/>
      <c r="B7" s="459"/>
      <c r="C7" s="77"/>
      <c r="D7" s="200"/>
      <c r="E7" s="543"/>
      <c r="F7" s="560"/>
      <c r="G7" s="544"/>
    </row>
    <row r="8" spans="1:7" ht="13">
      <c r="A8" s="635" t="s">
        <v>2676</v>
      </c>
      <c r="B8" s="441"/>
      <c r="C8" s="138"/>
      <c r="D8" s="200"/>
      <c r="E8" s="543"/>
      <c r="F8" s="560"/>
      <c r="G8" s="544"/>
    </row>
    <row r="9" spans="1:7" ht="13">
      <c r="A9" s="443" t="s">
        <v>2675</v>
      </c>
      <c r="B9" s="441"/>
      <c r="C9" s="1"/>
      <c r="D9" s="200"/>
      <c r="E9" s="543"/>
      <c r="F9" s="560"/>
      <c r="G9" s="544"/>
    </row>
    <row r="10" spans="1:7">
      <c r="A10" s="282"/>
      <c r="B10" s="459"/>
      <c r="C10" s="77"/>
      <c r="D10" s="200"/>
      <c r="E10" s="543"/>
      <c r="F10" s="560"/>
      <c r="G10" s="544"/>
    </row>
    <row r="11" spans="1:7">
      <c r="A11" s="282"/>
      <c r="B11" s="459"/>
      <c r="C11" s="77"/>
      <c r="D11" s="200"/>
      <c r="E11" s="543"/>
      <c r="F11" s="560"/>
      <c r="G11" s="544"/>
    </row>
    <row r="12" spans="1:7" ht="13">
      <c r="A12" s="282"/>
      <c r="B12" s="138"/>
      <c r="C12" s="200" t="s">
        <v>2678</v>
      </c>
      <c r="D12" s="200"/>
      <c r="E12" s="543"/>
      <c r="F12" s="560"/>
      <c r="G12" s="544"/>
    </row>
    <row r="13" spans="1:7">
      <c r="A13" s="282"/>
      <c r="B13" s="138"/>
      <c r="C13" s="200"/>
    </row>
    <row r="14" spans="1:7">
      <c r="A14" s="282"/>
      <c r="B14" s="138"/>
      <c r="C14" s="200"/>
    </row>
    <row r="15" spans="1:7" ht="13">
      <c r="A15" s="481">
        <v>1</v>
      </c>
      <c r="B15" s="138"/>
      <c r="C15" s="466" t="s">
        <v>1353</v>
      </c>
      <c r="D15" s="200" t="s">
        <v>48</v>
      </c>
      <c r="E15" s="543"/>
      <c r="F15" s="560"/>
      <c r="G15" s="544">
        <f>SUM(G39:G119)</f>
        <v>0</v>
      </c>
    </row>
    <row r="16" spans="1:7">
      <c r="A16" s="481">
        <v>2</v>
      </c>
      <c r="B16" s="138"/>
      <c r="C16" s="144"/>
      <c r="D16" s="200"/>
      <c r="E16" s="543"/>
      <c r="F16" s="560"/>
      <c r="G16" s="544"/>
    </row>
    <row r="17" spans="1:7">
      <c r="A17" s="481">
        <v>3</v>
      </c>
      <c r="B17" s="138"/>
      <c r="C17" s="144"/>
      <c r="D17" s="200"/>
      <c r="E17" s="543"/>
      <c r="F17" s="560"/>
      <c r="G17" s="544"/>
    </row>
    <row r="18" spans="1:7">
      <c r="A18" s="481">
        <v>4</v>
      </c>
      <c r="B18" s="138"/>
      <c r="C18" s="419"/>
      <c r="D18" s="419"/>
      <c r="E18" s="236"/>
      <c r="F18" s="561"/>
      <c r="G18" s="545"/>
    </row>
    <row r="19" spans="1:7" s="556" customFormat="1" ht="26">
      <c r="A19" s="420" t="s">
        <v>52</v>
      </c>
      <c r="B19" s="586"/>
      <c r="C19" s="586" t="s">
        <v>979</v>
      </c>
      <c r="D19" s="432" t="s">
        <v>980</v>
      </c>
      <c r="E19" s="421" t="s">
        <v>981</v>
      </c>
      <c r="F19" s="587" t="s">
        <v>982</v>
      </c>
      <c r="G19" s="422" t="s">
        <v>983</v>
      </c>
    </row>
    <row r="20" spans="1:7" s="138" customFormat="1" ht="13">
      <c r="A20" s="223" t="s">
        <v>1094</v>
      </c>
      <c r="C20" s="138" t="s">
        <v>984</v>
      </c>
      <c r="E20" s="102"/>
      <c r="F20" s="102"/>
      <c r="G20" s="42"/>
    </row>
    <row r="21" spans="1:7" s="138" customFormat="1" ht="13">
      <c r="A21" s="223" t="s">
        <v>1095</v>
      </c>
      <c r="C21" s="138" t="s">
        <v>985</v>
      </c>
      <c r="E21" s="102"/>
      <c r="F21" s="102"/>
      <c r="G21" s="42"/>
    </row>
    <row r="22" spans="1:7" s="138" customFormat="1" ht="78">
      <c r="A22" s="223" t="s">
        <v>1096</v>
      </c>
      <c r="C22" s="138" t="s">
        <v>986</v>
      </c>
      <c r="E22" s="102"/>
      <c r="F22" s="102"/>
      <c r="G22" s="42"/>
    </row>
    <row r="23" spans="1:7" s="138" customFormat="1" ht="26">
      <c r="A23" s="223" t="s">
        <v>1097</v>
      </c>
      <c r="C23" s="314" t="s">
        <v>987</v>
      </c>
      <c r="E23" s="102"/>
      <c r="F23" s="102"/>
      <c r="G23" s="42"/>
    </row>
    <row r="24" spans="1:7" s="138" customFormat="1" ht="13">
      <c r="A24" s="223" t="s">
        <v>1098</v>
      </c>
      <c r="C24" s="138" t="s">
        <v>988</v>
      </c>
      <c r="E24" s="102"/>
      <c r="F24" s="102"/>
      <c r="G24" s="42"/>
    </row>
    <row r="25" spans="1:7" s="138" customFormat="1" ht="52">
      <c r="A25" s="223" t="s">
        <v>1099</v>
      </c>
      <c r="C25" s="138" t="s">
        <v>989</v>
      </c>
      <c r="E25" s="102"/>
      <c r="F25" s="102"/>
      <c r="G25" s="42"/>
    </row>
    <row r="26" spans="1:7" s="138" customFormat="1" ht="13">
      <c r="A26" s="223" t="s">
        <v>1100</v>
      </c>
      <c r="C26" s="138" t="s">
        <v>990</v>
      </c>
      <c r="E26" s="102"/>
      <c r="F26" s="102"/>
      <c r="G26" s="42"/>
    </row>
    <row r="27" spans="1:7" s="138" customFormat="1" ht="13">
      <c r="A27" s="223" t="s">
        <v>1101</v>
      </c>
      <c r="C27" s="138" t="s">
        <v>991</v>
      </c>
      <c r="E27" s="102"/>
      <c r="F27" s="102"/>
      <c r="G27" s="42"/>
    </row>
    <row r="28" spans="1:7" s="138" customFormat="1" ht="26">
      <c r="A28" s="223" t="s">
        <v>1102</v>
      </c>
      <c r="C28" s="138" t="s">
        <v>2536</v>
      </c>
      <c r="E28" s="102"/>
      <c r="F28" s="102"/>
      <c r="G28" s="42"/>
    </row>
    <row r="29" spans="1:7" s="138" customFormat="1" ht="26">
      <c r="A29" s="223" t="s">
        <v>1103</v>
      </c>
      <c r="C29" s="138" t="s">
        <v>2537</v>
      </c>
      <c r="E29" s="102"/>
      <c r="F29" s="102"/>
      <c r="G29" s="42"/>
    </row>
    <row r="30" spans="1:7" s="138" customFormat="1" ht="13">
      <c r="A30" s="223" t="s">
        <v>1104</v>
      </c>
      <c r="C30" s="138" t="s">
        <v>2538</v>
      </c>
      <c r="E30" s="102"/>
      <c r="F30" s="102"/>
      <c r="G30" s="42"/>
    </row>
    <row r="31" spans="1:7" s="138" customFormat="1" ht="13">
      <c r="A31" s="223" t="s">
        <v>1105</v>
      </c>
      <c r="C31" s="213" t="s">
        <v>2539</v>
      </c>
      <c r="E31" s="102"/>
      <c r="F31" s="102"/>
      <c r="G31" s="42"/>
    </row>
    <row r="32" spans="1:7" s="138" customFormat="1" ht="26">
      <c r="A32" s="223" t="s">
        <v>1106</v>
      </c>
      <c r="C32" s="213" t="s">
        <v>2540</v>
      </c>
      <c r="E32" s="102"/>
      <c r="F32" s="102"/>
      <c r="G32" s="42"/>
    </row>
    <row r="33" spans="1:7" s="138" customFormat="1" ht="13">
      <c r="A33" s="223" t="s">
        <v>1107</v>
      </c>
      <c r="C33" s="138" t="s">
        <v>2541</v>
      </c>
      <c r="E33" s="102"/>
      <c r="F33" s="102"/>
      <c r="G33" s="42"/>
    </row>
    <row r="34" spans="1:7" s="138" customFormat="1" ht="13">
      <c r="A34" s="223" t="s">
        <v>1108</v>
      </c>
      <c r="C34" s="138" t="s">
        <v>2542</v>
      </c>
      <c r="E34" s="102"/>
      <c r="F34" s="102"/>
      <c r="G34" s="42"/>
    </row>
    <row r="35" spans="1:7" s="138" customFormat="1" ht="13">
      <c r="A35" s="223" t="s">
        <v>1109</v>
      </c>
      <c r="C35" s="138" t="s">
        <v>2543</v>
      </c>
      <c r="E35" s="102"/>
      <c r="F35" s="102"/>
      <c r="G35" s="42"/>
    </row>
    <row r="36" spans="1:7" ht="26">
      <c r="A36" s="223" t="s">
        <v>1110</v>
      </c>
      <c r="C36" s="314" t="s">
        <v>1354</v>
      </c>
    </row>
    <row r="37" spans="1:7" ht="91">
      <c r="A37" s="223" t="s">
        <v>1111</v>
      </c>
      <c r="C37" s="314" t="s">
        <v>2627</v>
      </c>
    </row>
    <row r="38" spans="1:7" ht="13">
      <c r="A38" s="223" t="s">
        <v>1112</v>
      </c>
      <c r="B38" s="723"/>
      <c r="C38" s="724" t="s">
        <v>2679</v>
      </c>
      <c r="D38" s="722"/>
      <c r="E38" s="722"/>
      <c r="F38" s="722"/>
      <c r="G38" s="722"/>
    </row>
    <row r="39" spans="1:7" ht="26">
      <c r="A39" s="223" t="s">
        <v>1113</v>
      </c>
      <c r="B39" s="419"/>
      <c r="C39" s="314" t="s">
        <v>2610</v>
      </c>
      <c r="D39" s="314" t="s">
        <v>7</v>
      </c>
      <c r="E39" s="314">
        <v>1</v>
      </c>
      <c r="F39" s="726"/>
      <c r="G39" s="522">
        <f>E39*F39</f>
        <v>0</v>
      </c>
    </row>
    <row r="40" spans="1:7" ht="13">
      <c r="A40" s="223" t="s">
        <v>1114</v>
      </c>
      <c r="B40" s="419"/>
      <c r="C40" s="314" t="s">
        <v>1355</v>
      </c>
      <c r="D40" s="314" t="s">
        <v>7</v>
      </c>
      <c r="E40" s="314">
        <v>1</v>
      </c>
      <c r="F40" s="726"/>
      <c r="G40" s="522">
        <f t="shared" ref="G40:G98" si="0">E40*F40</f>
        <v>0</v>
      </c>
    </row>
    <row r="41" spans="1:7" ht="13">
      <c r="A41" s="223" t="s">
        <v>1115</v>
      </c>
      <c r="B41" s="723"/>
      <c r="C41" s="724" t="s">
        <v>2680</v>
      </c>
      <c r="D41" s="722"/>
      <c r="E41" s="722"/>
      <c r="F41" s="727"/>
      <c r="G41" s="727"/>
    </row>
    <row r="42" spans="1:7" ht="13">
      <c r="A42" s="223" t="s">
        <v>1116</v>
      </c>
      <c r="B42" s="723"/>
      <c r="C42" s="725" t="s">
        <v>1356</v>
      </c>
      <c r="D42" s="722"/>
      <c r="E42" s="722"/>
      <c r="F42" s="727"/>
      <c r="G42" s="727"/>
    </row>
    <row r="43" spans="1:7" ht="13">
      <c r="A43" s="223" t="s">
        <v>1117</v>
      </c>
      <c r="B43" s="419"/>
      <c r="C43" s="314" t="s">
        <v>1357</v>
      </c>
      <c r="D43" s="314" t="s">
        <v>15</v>
      </c>
      <c r="E43" s="314">
        <v>30</v>
      </c>
      <c r="F43" s="726"/>
      <c r="G43" s="522">
        <f t="shared" si="0"/>
        <v>0</v>
      </c>
    </row>
    <row r="44" spans="1:7" ht="13">
      <c r="A44" s="223" t="s">
        <v>1414</v>
      </c>
      <c r="B44" s="419"/>
      <c r="C44" s="314" t="s">
        <v>1358</v>
      </c>
      <c r="D44" s="314" t="s">
        <v>15</v>
      </c>
      <c r="E44" s="314">
        <v>20</v>
      </c>
      <c r="F44" s="726"/>
      <c r="G44" s="522">
        <f t="shared" si="0"/>
        <v>0</v>
      </c>
    </row>
    <row r="45" spans="1:7" ht="13">
      <c r="A45" s="223" t="s">
        <v>1118</v>
      </c>
      <c r="B45" s="419"/>
      <c r="C45" s="314" t="s">
        <v>1359</v>
      </c>
      <c r="D45" s="314" t="s">
        <v>15</v>
      </c>
      <c r="E45" s="314">
        <v>290</v>
      </c>
      <c r="F45" s="726"/>
      <c r="G45" s="522">
        <f t="shared" si="0"/>
        <v>0</v>
      </c>
    </row>
    <row r="46" spans="1:7" ht="13">
      <c r="A46" s="223" t="s">
        <v>1119</v>
      </c>
      <c r="B46" s="419"/>
      <c r="C46" s="314" t="s">
        <v>1360</v>
      </c>
      <c r="D46" s="314" t="s">
        <v>15</v>
      </c>
      <c r="E46" s="314">
        <v>880</v>
      </c>
      <c r="F46" s="726"/>
      <c r="G46" s="522">
        <f t="shared" si="0"/>
        <v>0</v>
      </c>
    </row>
    <row r="47" spans="1:7" ht="13">
      <c r="A47" s="223" t="s">
        <v>1120</v>
      </c>
      <c r="B47" s="419"/>
      <c r="C47" s="314" t="s">
        <v>1361</v>
      </c>
      <c r="D47" s="314" t="s">
        <v>15</v>
      </c>
      <c r="E47" s="314">
        <v>630</v>
      </c>
      <c r="F47" s="726"/>
      <c r="G47" s="522">
        <f t="shared" si="0"/>
        <v>0</v>
      </c>
    </row>
    <row r="48" spans="1:7" ht="13">
      <c r="A48" s="223" t="s">
        <v>1415</v>
      </c>
      <c r="B48" s="419"/>
      <c r="C48" s="314" t="s">
        <v>1362</v>
      </c>
      <c r="D48" s="314" t="s">
        <v>15</v>
      </c>
      <c r="E48" s="314">
        <v>70</v>
      </c>
      <c r="F48" s="726"/>
      <c r="G48" s="522">
        <f t="shared" si="0"/>
        <v>0</v>
      </c>
    </row>
    <row r="49" spans="1:7" ht="13">
      <c r="A49" s="223" t="s">
        <v>1416</v>
      </c>
      <c r="B49" s="419"/>
      <c r="C49" s="314" t="s">
        <v>1363</v>
      </c>
      <c r="D49" s="314" t="s">
        <v>15</v>
      </c>
      <c r="E49" s="314">
        <v>40</v>
      </c>
      <c r="F49" s="726"/>
      <c r="G49" s="522">
        <f t="shared" si="0"/>
        <v>0</v>
      </c>
    </row>
    <row r="50" spans="1:7" ht="13">
      <c r="A50" s="223" t="s">
        <v>1417</v>
      </c>
      <c r="B50" s="419"/>
      <c r="C50" s="51" t="s">
        <v>1364</v>
      </c>
      <c r="D50" s="314" t="s">
        <v>15</v>
      </c>
      <c r="E50" s="314">
        <v>25</v>
      </c>
      <c r="F50" s="726"/>
      <c r="G50" s="522">
        <f t="shared" si="0"/>
        <v>0</v>
      </c>
    </row>
    <row r="51" spans="1:7" ht="13">
      <c r="A51" s="223" t="s">
        <v>1418</v>
      </c>
      <c r="B51" s="419"/>
      <c r="C51" s="314" t="s">
        <v>1365</v>
      </c>
      <c r="D51" s="314" t="s">
        <v>15</v>
      </c>
      <c r="E51" s="314">
        <v>140</v>
      </c>
      <c r="F51" s="726"/>
      <c r="G51" s="522">
        <f t="shared" si="0"/>
        <v>0</v>
      </c>
    </row>
    <row r="52" spans="1:7" ht="13">
      <c r="A52" s="223" t="s">
        <v>1419</v>
      </c>
      <c r="B52" s="419"/>
      <c r="C52" s="314" t="s">
        <v>1366</v>
      </c>
      <c r="D52" s="314" t="s">
        <v>15</v>
      </c>
      <c r="E52" s="314">
        <v>30</v>
      </c>
      <c r="F52" s="726"/>
      <c r="G52" s="522">
        <f t="shared" si="0"/>
        <v>0</v>
      </c>
    </row>
    <row r="53" spans="1:7" ht="13">
      <c r="A53" s="223" t="s">
        <v>1420</v>
      </c>
      <c r="B53" s="419"/>
      <c r="C53" s="314" t="s">
        <v>1367</v>
      </c>
      <c r="D53" s="314" t="s">
        <v>15</v>
      </c>
      <c r="E53" s="314">
        <v>320</v>
      </c>
      <c r="F53" s="726"/>
      <c r="G53" s="522">
        <f t="shared" si="0"/>
        <v>0</v>
      </c>
    </row>
    <row r="54" spans="1:7" ht="13">
      <c r="A54" s="223" t="s">
        <v>1421</v>
      </c>
      <c r="B54" s="419"/>
      <c r="C54" s="314" t="s">
        <v>1368</v>
      </c>
      <c r="D54" s="314" t="s">
        <v>15</v>
      </c>
      <c r="E54" s="314">
        <v>270</v>
      </c>
      <c r="F54" s="726"/>
      <c r="G54" s="522">
        <f t="shared" si="0"/>
        <v>0</v>
      </c>
    </row>
    <row r="55" spans="1:7" ht="13">
      <c r="A55" s="223" t="s">
        <v>1422</v>
      </c>
      <c r="B55" s="419"/>
      <c r="C55" s="314" t="s">
        <v>1369</v>
      </c>
      <c r="D55" s="314" t="s">
        <v>15</v>
      </c>
      <c r="E55" s="314">
        <v>65</v>
      </c>
      <c r="F55" s="726"/>
      <c r="G55" s="522">
        <f t="shared" si="0"/>
        <v>0</v>
      </c>
    </row>
    <row r="56" spans="1:7" ht="13">
      <c r="A56" s="223" t="s">
        <v>1423</v>
      </c>
      <c r="B56" s="419"/>
      <c r="C56" s="314" t="s">
        <v>682</v>
      </c>
      <c r="D56" s="314" t="s">
        <v>15</v>
      </c>
      <c r="E56" s="314">
        <v>50</v>
      </c>
      <c r="F56" s="726"/>
      <c r="G56" s="522">
        <f t="shared" si="0"/>
        <v>0</v>
      </c>
    </row>
    <row r="57" spans="1:7" ht="13">
      <c r="A57" s="223" t="s">
        <v>1424</v>
      </c>
      <c r="B57" s="419"/>
      <c r="C57" s="314" t="s">
        <v>683</v>
      </c>
      <c r="D57" s="314" t="s">
        <v>15</v>
      </c>
      <c r="E57" s="314">
        <v>70</v>
      </c>
      <c r="F57" s="726"/>
      <c r="G57" s="522">
        <f t="shared" si="0"/>
        <v>0</v>
      </c>
    </row>
    <row r="58" spans="1:7" ht="13">
      <c r="A58" s="223" t="s">
        <v>1425</v>
      </c>
      <c r="B58" s="419"/>
      <c r="C58" s="314" t="s">
        <v>1370</v>
      </c>
      <c r="D58" s="314" t="s">
        <v>15</v>
      </c>
      <c r="E58" s="314">
        <v>80</v>
      </c>
      <c r="F58" s="726"/>
      <c r="G58" s="522">
        <f t="shared" si="0"/>
        <v>0</v>
      </c>
    </row>
    <row r="59" spans="1:7" ht="13">
      <c r="A59" s="223" t="s">
        <v>1426</v>
      </c>
      <c r="B59" s="723"/>
      <c r="C59" s="725" t="s">
        <v>1371</v>
      </c>
      <c r="D59" s="722"/>
      <c r="E59" s="722"/>
      <c r="F59" s="727"/>
      <c r="G59" s="727"/>
    </row>
    <row r="60" spans="1:7" ht="13">
      <c r="A60" s="223" t="s">
        <v>1427</v>
      </c>
      <c r="B60" s="419"/>
      <c r="C60" s="314" t="s">
        <v>1372</v>
      </c>
      <c r="D60" s="314" t="s">
        <v>7</v>
      </c>
      <c r="E60" s="314">
        <v>3</v>
      </c>
      <c r="F60" s="726"/>
      <c r="G60" s="522">
        <f t="shared" si="0"/>
        <v>0</v>
      </c>
    </row>
    <row r="61" spans="1:7" ht="13">
      <c r="A61" s="223" t="s">
        <v>1428</v>
      </c>
      <c r="B61" s="419"/>
      <c r="C61" s="314" t="s">
        <v>1373</v>
      </c>
      <c r="D61" s="314" t="s">
        <v>7</v>
      </c>
      <c r="E61" s="314">
        <v>1</v>
      </c>
      <c r="F61" s="726"/>
      <c r="G61" s="522">
        <f t="shared" si="0"/>
        <v>0</v>
      </c>
    </row>
    <row r="62" spans="1:7" ht="13">
      <c r="A62" s="223" t="s">
        <v>1429</v>
      </c>
      <c r="B62" s="419"/>
      <c r="C62" s="314" t="s">
        <v>1374</v>
      </c>
      <c r="D62" s="314" t="s">
        <v>7</v>
      </c>
      <c r="E62" s="314">
        <v>2</v>
      </c>
      <c r="F62" s="726"/>
      <c r="G62" s="522">
        <f t="shared" si="0"/>
        <v>0</v>
      </c>
    </row>
    <row r="63" spans="1:7" ht="13">
      <c r="A63" s="223" t="s">
        <v>1430</v>
      </c>
      <c r="B63" s="419"/>
      <c r="C63" s="314" t="s">
        <v>1375</v>
      </c>
      <c r="D63" s="314" t="s">
        <v>7</v>
      </c>
      <c r="E63" s="314">
        <v>1</v>
      </c>
      <c r="F63" s="726"/>
      <c r="G63" s="522">
        <f t="shared" si="0"/>
        <v>0</v>
      </c>
    </row>
    <row r="64" spans="1:7" ht="26">
      <c r="A64" s="223" t="s">
        <v>1431</v>
      </c>
      <c r="B64" s="419"/>
      <c r="C64" s="314" t="s">
        <v>2611</v>
      </c>
      <c r="D64" s="314" t="s">
        <v>7</v>
      </c>
      <c r="E64" s="314">
        <v>3</v>
      </c>
      <c r="F64" s="726"/>
      <c r="G64" s="522"/>
    </row>
    <row r="65" spans="1:7" ht="13">
      <c r="A65" s="223" t="s">
        <v>1432</v>
      </c>
      <c r="B65" s="419"/>
      <c r="C65" s="314" t="s">
        <v>2612</v>
      </c>
      <c r="D65" s="314" t="s">
        <v>7</v>
      </c>
      <c r="E65" s="314">
        <v>1</v>
      </c>
      <c r="F65" s="726"/>
      <c r="G65" s="522"/>
    </row>
    <row r="66" spans="1:7" ht="13">
      <c r="A66" s="223" t="s">
        <v>1433</v>
      </c>
      <c r="B66" s="419"/>
      <c r="C66" s="558" t="s">
        <v>1376</v>
      </c>
      <c r="D66" s="314" t="s">
        <v>7</v>
      </c>
      <c r="E66" s="314">
        <v>1</v>
      </c>
      <c r="F66" s="726"/>
      <c r="G66" s="522">
        <f t="shared" si="0"/>
        <v>0</v>
      </c>
    </row>
    <row r="67" spans="1:7" ht="13">
      <c r="A67" s="223" t="s">
        <v>1434</v>
      </c>
      <c r="B67" s="419"/>
      <c r="C67" s="558" t="s">
        <v>1377</v>
      </c>
      <c r="D67" s="314" t="s">
        <v>7</v>
      </c>
      <c r="E67" s="314">
        <v>1</v>
      </c>
      <c r="F67" s="726"/>
      <c r="G67" s="522">
        <f t="shared" si="0"/>
        <v>0</v>
      </c>
    </row>
    <row r="68" spans="1:7" ht="13">
      <c r="A68" s="223" t="s">
        <v>1435</v>
      </c>
      <c r="B68" s="419"/>
      <c r="C68" s="558" t="s">
        <v>1378</v>
      </c>
      <c r="D68" s="314" t="s">
        <v>7</v>
      </c>
      <c r="E68" s="314">
        <v>1</v>
      </c>
      <c r="F68" s="726"/>
      <c r="G68" s="522">
        <f t="shared" si="0"/>
        <v>0</v>
      </c>
    </row>
    <row r="69" spans="1:7" ht="13">
      <c r="A69" s="223" t="s">
        <v>1436</v>
      </c>
      <c r="B69" s="419"/>
      <c r="C69" s="314" t="s">
        <v>1379</v>
      </c>
      <c r="D69" s="314" t="s">
        <v>7</v>
      </c>
      <c r="E69" s="314">
        <v>4</v>
      </c>
      <c r="F69" s="726"/>
      <c r="G69" s="522">
        <f t="shared" si="0"/>
        <v>0</v>
      </c>
    </row>
    <row r="70" spans="1:7" ht="13">
      <c r="A70" s="223" t="s">
        <v>1437</v>
      </c>
      <c r="B70" s="419"/>
      <c r="C70" s="314" t="s">
        <v>1380</v>
      </c>
      <c r="D70" s="314" t="s">
        <v>7</v>
      </c>
      <c r="E70" s="314">
        <v>9</v>
      </c>
      <c r="F70" s="726"/>
      <c r="G70" s="522">
        <f t="shared" si="0"/>
        <v>0</v>
      </c>
    </row>
    <row r="71" spans="1:7" ht="13">
      <c r="A71" s="223" t="s">
        <v>1438</v>
      </c>
      <c r="B71" s="419"/>
      <c r="C71" s="314" t="s">
        <v>1381</v>
      </c>
      <c r="D71" s="314" t="s">
        <v>7</v>
      </c>
      <c r="E71" s="314">
        <v>1</v>
      </c>
      <c r="F71" s="726"/>
      <c r="G71" s="522">
        <f t="shared" si="0"/>
        <v>0</v>
      </c>
    </row>
    <row r="72" spans="1:7" ht="13">
      <c r="A72" s="223" t="s">
        <v>1439</v>
      </c>
      <c r="B72" s="419"/>
      <c r="C72" s="314" t="s">
        <v>1382</v>
      </c>
      <c r="D72" s="314" t="s">
        <v>7</v>
      </c>
      <c r="E72" s="314">
        <v>3</v>
      </c>
      <c r="F72" s="726"/>
      <c r="G72" s="522">
        <f t="shared" si="0"/>
        <v>0</v>
      </c>
    </row>
    <row r="73" spans="1:7" ht="13">
      <c r="A73" s="223" t="s">
        <v>1440</v>
      </c>
      <c r="B73" s="419"/>
      <c r="C73" s="314" t="s">
        <v>1383</v>
      </c>
      <c r="D73" s="314" t="s">
        <v>7</v>
      </c>
      <c r="E73" s="314">
        <v>1</v>
      </c>
      <c r="F73" s="726"/>
      <c r="G73" s="522">
        <f t="shared" si="0"/>
        <v>0</v>
      </c>
    </row>
    <row r="74" spans="1:7" ht="13">
      <c r="A74" s="223" t="s">
        <v>1441</v>
      </c>
      <c r="B74" s="419"/>
      <c r="C74" s="314" t="s">
        <v>1384</v>
      </c>
      <c r="D74" s="314" t="s">
        <v>7</v>
      </c>
      <c r="E74" s="314">
        <v>1</v>
      </c>
      <c r="F74" s="726"/>
      <c r="G74" s="522">
        <f t="shared" si="0"/>
        <v>0</v>
      </c>
    </row>
    <row r="75" spans="1:7" ht="26">
      <c r="A75" s="223" t="s">
        <v>1442</v>
      </c>
      <c r="B75" s="419"/>
      <c r="C75" s="314" t="s">
        <v>1385</v>
      </c>
      <c r="D75" s="314"/>
      <c r="E75" s="314"/>
      <c r="F75" s="726"/>
      <c r="G75" s="522">
        <f t="shared" si="0"/>
        <v>0</v>
      </c>
    </row>
    <row r="76" spans="1:7" ht="13">
      <c r="A76" s="223" t="s">
        <v>1443</v>
      </c>
      <c r="B76" s="419"/>
      <c r="C76" s="314" t="s">
        <v>1386</v>
      </c>
      <c r="D76" s="314" t="s">
        <v>7</v>
      </c>
      <c r="E76" s="314">
        <v>4</v>
      </c>
      <c r="F76" s="726"/>
      <c r="G76" s="522">
        <f t="shared" si="0"/>
        <v>0</v>
      </c>
    </row>
    <row r="77" spans="1:7" ht="26">
      <c r="A77" s="223" t="s">
        <v>1444</v>
      </c>
      <c r="B77" s="419"/>
      <c r="C77" s="314" t="s">
        <v>2613</v>
      </c>
      <c r="D77" s="314"/>
      <c r="E77" s="314"/>
      <c r="F77" s="726"/>
      <c r="G77" s="522">
        <f t="shared" si="0"/>
        <v>0</v>
      </c>
    </row>
    <row r="78" spans="1:7" ht="13">
      <c r="A78" s="223" t="s">
        <v>1445</v>
      </c>
      <c r="B78" s="419"/>
      <c r="C78" s="314" t="s">
        <v>1387</v>
      </c>
      <c r="D78" s="314" t="s">
        <v>7</v>
      </c>
      <c r="E78" s="314">
        <v>2</v>
      </c>
      <c r="F78" s="726"/>
      <c r="G78" s="522">
        <f t="shared" si="0"/>
        <v>0</v>
      </c>
    </row>
    <row r="79" spans="1:7" ht="13">
      <c r="A79" s="223" t="s">
        <v>1446</v>
      </c>
      <c r="B79" s="419"/>
      <c r="C79" s="314" t="s">
        <v>1388</v>
      </c>
      <c r="D79" s="314" t="s">
        <v>7</v>
      </c>
      <c r="E79" s="314">
        <v>5</v>
      </c>
      <c r="F79" s="726"/>
      <c r="G79" s="522">
        <f t="shared" si="0"/>
        <v>0</v>
      </c>
    </row>
    <row r="80" spans="1:7" ht="13">
      <c r="A80" s="223" t="s">
        <v>1447</v>
      </c>
      <c r="B80" s="723"/>
      <c r="C80" s="725" t="s">
        <v>1389</v>
      </c>
      <c r="D80" s="722"/>
      <c r="E80" s="722"/>
      <c r="F80" s="727"/>
      <c r="G80" s="727"/>
    </row>
    <row r="81" spans="1:7" ht="26">
      <c r="A81" s="223" t="s">
        <v>1448</v>
      </c>
      <c r="B81" s="419"/>
      <c r="C81" s="314" t="s">
        <v>2614</v>
      </c>
      <c r="D81" s="314" t="s">
        <v>7</v>
      </c>
      <c r="E81" s="314"/>
      <c r="F81" s="728"/>
      <c r="G81" s="522"/>
    </row>
    <row r="82" spans="1:7" ht="26">
      <c r="A82" s="223" t="s">
        <v>1449</v>
      </c>
      <c r="B82" s="419"/>
      <c r="C82" s="314" t="s">
        <v>2615</v>
      </c>
      <c r="D82" s="314" t="s">
        <v>7</v>
      </c>
      <c r="E82" s="314"/>
      <c r="F82" s="728"/>
      <c r="G82" s="522"/>
    </row>
    <row r="83" spans="1:7" ht="26">
      <c r="A83" s="223" t="s">
        <v>1450</v>
      </c>
      <c r="B83" s="419"/>
      <c r="C83" s="314" t="s">
        <v>2616</v>
      </c>
      <c r="D83" s="314" t="s">
        <v>7</v>
      </c>
      <c r="E83" s="314"/>
      <c r="F83" s="728"/>
      <c r="G83" s="522"/>
    </row>
    <row r="84" spans="1:7" ht="26">
      <c r="A84" s="223" t="s">
        <v>1451</v>
      </c>
      <c r="B84" s="419"/>
      <c r="C84" s="314" t="s">
        <v>2617</v>
      </c>
      <c r="D84" s="314" t="s">
        <v>7</v>
      </c>
      <c r="E84" s="314"/>
      <c r="F84" s="728"/>
      <c r="G84" s="522"/>
    </row>
    <row r="85" spans="1:7" ht="26">
      <c r="A85" s="223" t="s">
        <v>1452</v>
      </c>
      <c r="B85" s="419"/>
      <c r="C85" s="314" t="s">
        <v>2618</v>
      </c>
      <c r="D85" s="314" t="s">
        <v>7</v>
      </c>
      <c r="E85" s="314"/>
      <c r="F85" s="728"/>
      <c r="G85" s="522"/>
    </row>
    <row r="86" spans="1:7" ht="26">
      <c r="A86" s="223" t="s">
        <v>1453</v>
      </c>
      <c r="B86" s="419"/>
      <c r="C86" s="314" t="s">
        <v>2619</v>
      </c>
      <c r="D86" s="314" t="s">
        <v>7</v>
      </c>
      <c r="E86" s="314"/>
      <c r="F86" s="728"/>
      <c r="G86" s="522"/>
    </row>
    <row r="87" spans="1:7" ht="26">
      <c r="A87" s="223" t="s">
        <v>1454</v>
      </c>
      <c r="B87" s="419"/>
      <c r="C87" s="314" t="s">
        <v>2620</v>
      </c>
      <c r="D87" s="314" t="s">
        <v>7</v>
      </c>
      <c r="E87" s="314"/>
      <c r="F87" s="728"/>
      <c r="G87" s="522"/>
    </row>
    <row r="88" spans="1:7" ht="26">
      <c r="A88" s="223" t="s">
        <v>1455</v>
      </c>
      <c r="B88" s="419"/>
      <c r="C88" s="314" t="s">
        <v>2621</v>
      </c>
      <c r="D88" s="314" t="s">
        <v>7</v>
      </c>
      <c r="E88" s="314"/>
      <c r="F88" s="728"/>
      <c r="G88" s="522"/>
    </row>
    <row r="89" spans="1:7" ht="26">
      <c r="A89" s="223" t="s">
        <v>1456</v>
      </c>
      <c r="B89" s="419"/>
      <c r="C89" s="314" t="s">
        <v>2622</v>
      </c>
      <c r="D89" s="314" t="s">
        <v>7</v>
      </c>
      <c r="E89" s="314"/>
      <c r="F89" s="728"/>
      <c r="G89" s="522"/>
    </row>
    <row r="90" spans="1:7" ht="26">
      <c r="A90" s="223" t="s">
        <v>1457</v>
      </c>
      <c r="B90" s="419"/>
      <c r="C90" s="314" t="s">
        <v>2623</v>
      </c>
      <c r="D90" s="314" t="s">
        <v>7</v>
      </c>
      <c r="E90" s="314"/>
      <c r="F90" s="728"/>
      <c r="G90" s="522"/>
    </row>
    <row r="91" spans="1:7" ht="26">
      <c r="A91" s="223" t="s">
        <v>1458</v>
      </c>
      <c r="B91" s="419"/>
      <c r="C91" s="314" t="s">
        <v>2624</v>
      </c>
      <c r="D91" s="314" t="s">
        <v>7</v>
      </c>
      <c r="E91" s="314"/>
      <c r="F91" s="728"/>
      <c r="G91" s="522"/>
    </row>
    <row r="92" spans="1:7" ht="13">
      <c r="A92" s="223" t="s">
        <v>1459</v>
      </c>
      <c r="B92" s="419"/>
      <c r="C92" s="314" t="s">
        <v>2625</v>
      </c>
      <c r="D92" s="314" t="s">
        <v>7</v>
      </c>
      <c r="E92" s="314"/>
      <c r="F92" s="728"/>
      <c r="G92" s="522"/>
    </row>
    <row r="93" spans="1:7" ht="13">
      <c r="A93" s="223" t="s">
        <v>1460</v>
      </c>
      <c r="B93" s="723"/>
      <c r="C93" s="725" t="s">
        <v>2681</v>
      </c>
      <c r="D93" s="722"/>
      <c r="E93" s="722"/>
      <c r="F93" s="727"/>
      <c r="G93" s="727"/>
    </row>
    <row r="94" spans="1:7" ht="13">
      <c r="A94" s="223" t="s">
        <v>1461</v>
      </c>
      <c r="B94" s="419"/>
      <c r="C94" s="314" t="s">
        <v>1390</v>
      </c>
      <c r="D94" s="314" t="s">
        <v>7</v>
      </c>
      <c r="E94" s="314">
        <v>1</v>
      </c>
      <c r="F94" s="726"/>
      <c r="G94" s="522">
        <f t="shared" si="0"/>
        <v>0</v>
      </c>
    </row>
    <row r="95" spans="1:7" ht="13">
      <c r="A95" s="223" t="s">
        <v>1462</v>
      </c>
      <c r="B95" s="419"/>
      <c r="C95" s="314" t="s">
        <v>1391</v>
      </c>
      <c r="D95" s="314" t="s">
        <v>7</v>
      </c>
      <c r="E95" s="314">
        <v>1</v>
      </c>
      <c r="F95" s="726"/>
      <c r="G95" s="522">
        <f t="shared" si="0"/>
        <v>0</v>
      </c>
    </row>
    <row r="96" spans="1:7" ht="13">
      <c r="A96" s="223" t="s">
        <v>1463</v>
      </c>
      <c r="B96" s="419"/>
      <c r="C96" s="314" t="s">
        <v>1392</v>
      </c>
      <c r="D96" s="314" t="s">
        <v>7</v>
      </c>
      <c r="E96" s="314">
        <v>1</v>
      </c>
      <c r="F96" s="726"/>
      <c r="G96" s="522">
        <f t="shared" si="0"/>
        <v>0</v>
      </c>
    </row>
    <row r="97" spans="1:7" ht="13">
      <c r="A97" s="223" t="s">
        <v>1464</v>
      </c>
      <c r="B97" s="419"/>
      <c r="C97" s="314" t="s">
        <v>1393</v>
      </c>
      <c r="D97" s="314" t="s">
        <v>7</v>
      </c>
      <c r="E97" s="314">
        <v>2</v>
      </c>
      <c r="F97" s="726"/>
      <c r="G97" s="522">
        <f t="shared" si="0"/>
        <v>0</v>
      </c>
    </row>
    <row r="98" spans="1:7" ht="13">
      <c r="A98" s="223" t="s">
        <v>1465</v>
      </c>
      <c r="B98" s="419"/>
      <c r="C98" s="314" t="s">
        <v>1394</v>
      </c>
      <c r="D98" s="314" t="s">
        <v>15</v>
      </c>
      <c r="E98" s="314">
        <v>50</v>
      </c>
      <c r="F98" s="726"/>
      <c r="G98" s="522">
        <f t="shared" si="0"/>
        <v>0</v>
      </c>
    </row>
    <row r="99" spans="1:7" ht="13">
      <c r="A99" s="223" t="s">
        <v>1466</v>
      </c>
      <c r="B99" s="419"/>
      <c r="C99" s="314" t="s">
        <v>1395</v>
      </c>
      <c r="D99" s="314" t="s">
        <v>7</v>
      </c>
      <c r="E99" s="314">
        <v>1</v>
      </c>
      <c r="F99" s="726"/>
      <c r="G99" s="522">
        <f t="shared" ref="G99:G115" si="1">E99*F99</f>
        <v>0</v>
      </c>
    </row>
    <row r="100" spans="1:7" ht="13">
      <c r="A100" s="223" t="s">
        <v>1467</v>
      </c>
      <c r="B100" s="419"/>
      <c r="C100" s="314" t="s">
        <v>1396</v>
      </c>
      <c r="D100" s="314" t="s">
        <v>7</v>
      </c>
      <c r="E100" s="314">
        <v>2</v>
      </c>
      <c r="F100" s="726"/>
      <c r="G100" s="522">
        <f t="shared" si="1"/>
        <v>0</v>
      </c>
    </row>
    <row r="101" spans="1:7" ht="13">
      <c r="A101" s="223" t="s">
        <v>1468</v>
      </c>
      <c r="B101" s="419"/>
      <c r="C101" s="314" t="s">
        <v>1397</v>
      </c>
      <c r="D101" s="314" t="s">
        <v>7</v>
      </c>
      <c r="E101" s="314">
        <v>40</v>
      </c>
      <c r="F101" s="726"/>
      <c r="G101" s="522">
        <f t="shared" si="1"/>
        <v>0</v>
      </c>
    </row>
    <row r="102" spans="1:7" ht="13">
      <c r="A102" s="223" t="s">
        <v>1469</v>
      </c>
      <c r="B102" s="419"/>
      <c r="C102" s="314" t="s">
        <v>1398</v>
      </c>
      <c r="D102" s="314" t="s">
        <v>7</v>
      </c>
      <c r="E102" s="314">
        <v>2</v>
      </c>
      <c r="F102" s="726"/>
      <c r="G102" s="522">
        <f t="shared" si="1"/>
        <v>0</v>
      </c>
    </row>
    <row r="103" spans="1:7" ht="13">
      <c r="A103" s="223" t="s">
        <v>1470</v>
      </c>
      <c r="B103" s="419"/>
      <c r="C103" s="314" t="s">
        <v>1399</v>
      </c>
      <c r="D103" s="314" t="s">
        <v>7</v>
      </c>
      <c r="E103" s="314">
        <v>5</v>
      </c>
      <c r="F103" s="726"/>
      <c r="G103" s="522">
        <f t="shared" si="1"/>
        <v>0</v>
      </c>
    </row>
    <row r="104" spans="1:7" ht="13">
      <c r="A104" s="223" t="s">
        <v>1471</v>
      </c>
      <c r="B104" s="419"/>
      <c r="C104" s="314" t="s">
        <v>1400</v>
      </c>
      <c r="D104" s="314" t="s">
        <v>15</v>
      </c>
      <c r="E104" s="314">
        <v>80</v>
      </c>
      <c r="F104" s="726"/>
      <c r="G104" s="522">
        <f t="shared" si="1"/>
        <v>0</v>
      </c>
    </row>
    <row r="105" spans="1:7" ht="13">
      <c r="A105" s="223" t="s">
        <v>1472</v>
      </c>
      <c r="B105" s="419"/>
      <c r="C105" s="314" t="s">
        <v>1401</v>
      </c>
      <c r="D105" s="314" t="s">
        <v>15</v>
      </c>
      <c r="E105" s="314">
        <v>25</v>
      </c>
      <c r="F105" s="726"/>
      <c r="G105" s="522">
        <f t="shared" si="1"/>
        <v>0</v>
      </c>
    </row>
    <row r="106" spans="1:7" ht="13">
      <c r="A106" s="223" t="s">
        <v>1473</v>
      </c>
      <c r="B106" s="419"/>
      <c r="C106" s="314" t="s">
        <v>1402</v>
      </c>
      <c r="D106" s="314" t="s">
        <v>7</v>
      </c>
      <c r="E106" s="314">
        <v>10</v>
      </c>
      <c r="F106" s="726"/>
      <c r="G106" s="522">
        <f t="shared" si="1"/>
        <v>0</v>
      </c>
    </row>
    <row r="107" spans="1:7" ht="13">
      <c r="A107" s="223" t="s">
        <v>1474</v>
      </c>
      <c r="B107" s="419"/>
      <c r="C107" s="314" t="s">
        <v>1403</v>
      </c>
      <c r="D107" s="314" t="s">
        <v>7</v>
      </c>
      <c r="E107" s="314">
        <v>8</v>
      </c>
      <c r="F107" s="726"/>
      <c r="G107" s="522">
        <f t="shared" si="1"/>
        <v>0</v>
      </c>
    </row>
    <row r="108" spans="1:7" ht="13">
      <c r="A108" s="223" t="s">
        <v>1475</v>
      </c>
      <c r="B108" s="419"/>
      <c r="C108" s="314" t="s">
        <v>1404</v>
      </c>
      <c r="D108" s="314" t="s">
        <v>7</v>
      </c>
      <c r="E108" s="314">
        <v>1</v>
      </c>
      <c r="F108" s="726"/>
      <c r="G108" s="522">
        <f t="shared" si="1"/>
        <v>0</v>
      </c>
    </row>
    <row r="109" spans="1:7" ht="13">
      <c r="A109" s="223" t="s">
        <v>1476</v>
      </c>
      <c r="B109" s="723"/>
      <c r="C109" s="725" t="s">
        <v>2682</v>
      </c>
      <c r="D109" s="722"/>
      <c r="E109" s="722"/>
      <c r="F109" s="727"/>
      <c r="G109" s="727"/>
    </row>
    <row r="110" spans="1:7" ht="39">
      <c r="A110" s="223" t="s">
        <v>1477</v>
      </c>
      <c r="B110" s="419"/>
      <c r="C110" s="314" t="s">
        <v>1405</v>
      </c>
      <c r="D110" s="314" t="s">
        <v>15</v>
      </c>
      <c r="E110" s="314">
        <v>25</v>
      </c>
      <c r="F110" s="726"/>
      <c r="G110" s="522">
        <f t="shared" si="1"/>
        <v>0</v>
      </c>
    </row>
    <row r="111" spans="1:7" ht="13">
      <c r="A111" s="223" t="s">
        <v>1478</v>
      </c>
      <c r="B111" s="419"/>
      <c r="C111" s="314" t="s">
        <v>1406</v>
      </c>
      <c r="D111" s="314" t="s">
        <v>1407</v>
      </c>
      <c r="E111" s="314">
        <v>1</v>
      </c>
      <c r="F111" s="726"/>
      <c r="G111" s="522">
        <f t="shared" si="1"/>
        <v>0</v>
      </c>
    </row>
    <row r="112" spans="1:7" ht="13">
      <c r="A112" s="223" t="s">
        <v>1479</v>
      </c>
      <c r="B112" s="419"/>
      <c r="C112" s="314" t="s">
        <v>1408</v>
      </c>
      <c r="D112" s="314" t="s">
        <v>1407</v>
      </c>
      <c r="E112" s="314">
        <v>1</v>
      </c>
      <c r="F112" s="726"/>
      <c r="G112" s="522">
        <f t="shared" si="1"/>
        <v>0</v>
      </c>
    </row>
    <row r="113" spans="1:7" ht="13">
      <c r="A113" s="223" t="s">
        <v>1480</v>
      </c>
      <c r="C113" s="314" t="s">
        <v>1409</v>
      </c>
      <c r="D113" s="314" t="s">
        <v>7</v>
      </c>
      <c r="E113" s="314">
        <v>1</v>
      </c>
      <c r="F113" s="726"/>
      <c r="G113" s="522">
        <f t="shared" si="1"/>
        <v>0</v>
      </c>
    </row>
    <row r="114" spans="1:7" ht="13">
      <c r="A114" s="223" t="s">
        <v>1481</v>
      </c>
      <c r="C114" s="461" t="s">
        <v>1038</v>
      </c>
      <c r="D114" s="461" t="s">
        <v>7</v>
      </c>
      <c r="E114" s="461">
        <v>1</v>
      </c>
      <c r="F114" s="522"/>
      <c r="G114" s="522">
        <f t="shared" si="1"/>
        <v>0</v>
      </c>
    </row>
    <row r="115" spans="1:7" ht="26">
      <c r="A115" s="223" t="s">
        <v>1482</v>
      </c>
      <c r="C115" s="314" t="s">
        <v>1410</v>
      </c>
      <c r="D115" s="461" t="s">
        <v>7</v>
      </c>
      <c r="E115" s="461">
        <v>1</v>
      </c>
      <c r="F115" s="522"/>
      <c r="G115" s="522">
        <f t="shared" si="1"/>
        <v>0</v>
      </c>
    </row>
    <row r="116" spans="1:7" ht="13">
      <c r="A116" s="223" t="s">
        <v>1483</v>
      </c>
      <c r="C116" s="269" t="s">
        <v>973</v>
      </c>
      <c r="D116" s="269" t="s">
        <v>1</v>
      </c>
      <c r="E116" s="407">
        <v>20</v>
      </c>
      <c r="F116" s="510"/>
      <c r="G116" s="510">
        <f>E116*F116</f>
        <v>0</v>
      </c>
    </row>
    <row r="117" spans="1:7" ht="13">
      <c r="A117" s="223" t="s">
        <v>1484</v>
      </c>
      <c r="B117" s="562"/>
      <c r="C117" s="213" t="s">
        <v>31</v>
      </c>
      <c r="D117" s="163" t="s">
        <v>7</v>
      </c>
      <c r="E117" s="563">
        <v>1</v>
      </c>
      <c r="F117" s="712"/>
      <c r="G117" s="712">
        <f>E117*F117</f>
        <v>0</v>
      </c>
    </row>
    <row r="118" spans="1:7" ht="13">
      <c r="A118" s="223" t="s">
        <v>1485</v>
      </c>
      <c r="B118" s="314"/>
      <c r="C118" s="213" t="s">
        <v>32</v>
      </c>
      <c r="D118" s="163" t="s">
        <v>7</v>
      </c>
      <c r="E118" s="512">
        <v>1</v>
      </c>
      <c r="F118" s="511"/>
      <c r="G118" s="712">
        <f>E118*F118</f>
        <v>0</v>
      </c>
    </row>
  </sheetData>
  <phoneticPr fontId="63" type="noConversion"/>
  <printOptions gridLines="1"/>
  <pageMargins left="0.31496062992125984" right="0.31496062992125984" top="0.59055118110236227" bottom="0.59055118110236227" header="0.31496062992125984" footer="0.31496062992125984"/>
  <pageSetup scale="85" fitToHeight="100" orientation="portrait" r:id="rId1"/>
  <headerFooter>
    <oddFooter>&amp;C&amp;P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G75"/>
  <sheetViews>
    <sheetView topLeftCell="A29" workbookViewId="0">
      <selection activeCell="F37" sqref="F37:F75"/>
    </sheetView>
  </sheetViews>
  <sheetFormatPr baseColWidth="10" defaultColWidth="8.83203125" defaultRowHeight="12"/>
  <cols>
    <col min="1" max="1" width="6.33203125" style="407" customWidth="1"/>
    <col min="2" max="2" width="8.83203125" style="489"/>
    <col min="3" max="3" width="68.5" style="51" customWidth="1"/>
    <col min="4" max="4" width="8.83203125" style="269"/>
    <col min="5" max="6" width="9" style="407" bestFit="1" customWidth="1"/>
    <col min="7" max="7" width="9.33203125" style="407" bestFit="1" customWidth="1"/>
    <col min="8" max="16384" width="8.83203125" style="51"/>
  </cols>
  <sheetData>
    <row r="1" spans="1:7" ht="15">
      <c r="A1" s="282"/>
      <c r="B1" s="138"/>
      <c r="C1" s="78" t="s">
        <v>974</v>
      </c>
      <c r="D1" s="144"/>
      <c r="E1" s="423"/>
      <c r="F1" s="423"/>
      <c r="G1" s="61"/>
    </row>
    <row r="2" spans="1:7" ht="14">
      <c r="A2" s="282"/>
      <c r="B2" s="138"/>
      <c r="C2" s="152" t="s">
        <v>2578</v>
      </c>
      <c r="D2" s="144"/>
      <c r="E2" s="423"/>
      <c r="F2" s="423"/>
      <c r="G2" s="61"/>
    </row>
    <row r="3" spans="1:7">
      <c r="A3" s="282"/>
      <c r="B3" s="138"/>
      <c r="C3" s="77"/>
      <c r="D3" s="144"/>
      <c r="E3" s="423"/>
      <c r="F3" s="423"/>
      <c r="G3" s="61"/>
    </row>
    <row r="4" spans="1:7" ht="13">
      <c r="A4" s="282"/>
      <c r="B4" s="138"/>
      <c r="C4" s="174" t="s">
        <v>947</v>
      </c>
      <c r="D4" s="144"/>
      <c r="E4" s="423"/>
      <c r="F4" s="423"/>
      <c r="G4" s="61"/>
    </row>
    <row r="5" spans="1:7" ht="13">
      <c r="A5" s="282"/>
      <c r="B5" s="138"/>
      <c r="C5" s="77" t="s">
        <v>975</v>
      </c>
      <c r="D5" s="144"/>
      <c r="E5" s="423"/>
      <c r="F5" s="423"/>
      <c r="G5" s="61"/>
    </row>
    <row r="6" spans="1:7">
      <c r="A6" s="282"/>
      <c r="B6" s="138"/>
      <c r="C6" s="174"/>
      <c r="D6" s="144"/>
      <c r="E6" s="423"/>
      <c r="F6" s="423"/>
      <c r="G6" s="61"/>
    </row>
    <row r="7" spans="1:7">
      <c r="A7" s="282"/>
      <c r="B7" s="459"/>
      <c r="C7" s="77"/>
      <c r="D7" s="144"/>
      <c r="E7" s="423"/>
      <c r="F7" s="423"/>
      <c r="G7" s="61"/>
    </row>
    <row r="8" spans="1:7" ht="13">
      <c r="A8" s="635" t="s">
        <v>2676</v>
      </c>
      <c r="B8" s="441"/>
      <c r="C8" s="138"/>
      <c r="D8" s="144"/>
      <c r="E8" s="423"/>
      <c r="F8" s="423"/>
      <c r="G8" s="61"/>
    </row>
    <row r="9" spans="1:7" ht="13">
      <c r="A9" s="443" t="s">
        <v>2675</v>
      </c>
      <c r="B9" s="441"/>
      <c r="C9" s="1"/>
      <c r="D9" s="144"/>
      <c r="E9" s="423"/>
      <c r="F9" s="423"/>
      <c r="G9" s="61"/>
    </row>
    <row r="10" spans="1:7">
      <c r="A10" s="282"/>
      <c r="B10" s="459"/>
      <c r="C10" s="77"/>
      <c r="D10" s="144"/>
      <c r="E10" s="423"/>
      <c r="F10" s="423"/>
      <c r="G10" s="61"/>
    </row>
    <row r="11" spans="1:7">
      <c r="A11" s="282"/>
      <c r="B11" s="138"/>
      <c r="C11" s="77"/>
      <c r="D11" s="144"/>
      <c r="E11" s="423"/>
      <c r="F11" s="423"/>
      <c r="G11" s="61"/>
    </row>
    <row r="12" spans="1:7" ht="13">
      <c r="A12" s="282"/>
      <c r="B12" s="138"/>
      <c r="C12" s="200" t="s">
        <v>2683</v>
      </c>
      <c r="D12" s="144"/>
      <c r="E12" s="423"/>
      <c r="F12" s="423"/>
      <c r="G12" s="61"/>
    </row>
    <row r="13" spans="1:7">
      <c r="A13" s="282"/>
      <c r="B13" s="138"/>
      <c r="C13" s="77"/>
      <c r="D13" s="144"/>
      <c r="E13" s="423"/>
      <c r="F13" s="423"/>
      <c r="G13" s="61"/>
    </row>
    <row r="14" spans="1:7">
      <c r="A14" s="282"/>
      <c r="B14" s="138"/>
      <c r="C14" s="200"/>
      <c r="D14" s="144"/>
      <c r="E14" s="423"/>
      <c r="F14" s="423"/>
      <c r="G14" s="61"/>
    </row>
    <row r="15" spans="1:7" ht="13">
      <c r="A15" s="481">
        <v>1</v>
      </c>
      <c r="B15" s="138"/>
      <c r="C15" s="144" t="s">
        <v>1089</v>
      </c>
      <c r="D15" s="144" t="s">
        <v>48</v>
      </c>
      <c r="E15" s="423"/>
      <c r="F15" s="423"/>
      <c r="G15" s="61">
        <f>SUM(G37:G76)</f>
        <v>0</v>
      </c>
    </row>
    <row r="16" spans="1:7">
      <c r="A16" s="481">
        <v>2</v>
      </c>
      <c r="B16" s="138"/>
      <c r="C16" s="144"/>
      <c r="D16" s="144"/>
      <c r="E16" s="423"/>
      <c r="F16" s="423"/>
      <c r="G16" s="61"/>
    </row>
    <row r="17" spans="1:7">
      <c r="A17" s="481">
        <v>3</v>
      </c>
      <c r="B17" s="138"/>
      <c r="C17" s="144"/>
      <c r="D17" s="144"/>
      <c r="E17" s="423"/>
      <c r="F17" s="423"/>
      <c r="G17" s="61"/>
    </row>
    <row r="18" spans="1:7">
      <c r="A18" s="481">
        <v>4</v>
      </c>
      <c r="B18" s="138"/>
      <c r="C18" s="419"/>
      <c r="D18" s="138"/>
      <c r="E18" s="102"/>
      <c r="F18" s="102"/>
      <c r="G18" s="42"/>
    </row>
    <row r="19" spans="1:7" s="489" customFormat="1" ht="26">
      <c r="A19" s="420" t="s">
        <v>52</v>
      </c>
      <c r="B19" s="586"/>
      <c r="C19" s="586" t="s">
        <v>979</v>
      </c>
      <c r="D19" s="432" t="s">
        <v>980</v>
      </c>
      <c r="E19" s="421" t="s">
        <v>981</v>
      </c>
      <c r="F19" s="587" t="s">
        <v>982</v>
      </c>
      <c r="G19" s="422" t="s">
        <v>983</v>
      </c>
    </row>
    <row r="20" spans="1:7" ht="13">
      <c r="A20" s="223" t="s">
        <v>1095</v>
      </c>
      <c r="B20" s="138"/>
      <c r="C20" s="138" t="s">
        <v>984</v>
      </c>
      <c r="D20" s="138"/>
      <c r="E20" s="102"/>
      <c r="F20" s="102"/>
      <c r="G20" s="42"/>
    </row>
    <row r="21" spans="1:7" ht="13">
      <c r="A21" s="223" t="s">
        <v>1096</v>
      </c>
      <c r="B21" s="138"/>
      <c r="C21" s="138" t="s">
        <v>985</v>
      </c>
      <c r="D21" s="138"/>
      <c r="E21" s="102"/>
      <c r="F21" s="102"/>
      <c r="G21" s="42"/>
    </row>
    <row r="22" spans="1:7" ht="65">
      <c r="A22" s="223" t="s">
        <v>1097</v>
      </c>
      <c r="B22" s="138"/>
      <c r="C22" s="138" t="s">
        <v>986</v>
      </c>
      <c r="D22" s="138"/>
      <c r="E22" s="102"/>
      <c r="F22" s="102"/>
      <c r="G22" s="42"/>
    </row>
    <row r="23" spans="1:7" ht="26">
      <c r="A23" s="223" t="s">
        <v>1098</v>
      </c>
      <c r="B23" s="138"/>
      <c r="C23" s="314" t="s">
        <v>987</v>
      </c>
      <c r="D23" s="138"/>
      <c r="E23" s="102"/>
      <c r="F23" s="102"/>
      <c r="G23" s="42"/>
    </row>
    <row r="24" spans="1:7" ht="13">
      <c r="A24" s="223" t="s">
        <v>1099</v>
      </c>
      <c r="B24" s="138"/>
      <c r="C24" s="138" t="s">
        <v>988</v>
      </c>
      <c r="D24" s="138"/>
      <c r="E24" s="102"/>
      <c r="F24" s="102"/>
      <c r="G24" s="42"/>
    </row>
    <row r="25" spans="1:7" ht="52">
      <c r="A25" s="223" t="s">
        <v>1100</v>
      </c>
      <c r="B25" s="138"/>
      <c r="C25" s="138" t="s">
        <v>989</v>
      </c>
      <c r="D25" s="138"/>
      <c r="E25" s="102"/>
      <c r="F25" s="102"/>
      <c r="G25" s="42"/>
    </row>
    <row r="26" spans="1:7" ht="13">
      <c r="A26" s="223" t="s">
        <v>1101</v>
      </c>
      <c r="B26" s="138"/>
      <c r="C26" s="138" t="s">
        <v>990</v>
      </c>
      <c r="D26" s="138"/>
      <c r="E26" s="102"/>
      <c r="F26" s="102"/>
      <c r="G26" s="42"/>
    </row>
    <row r="27" spans="1:7" ht="13">
      <c r="A27" s="223" t="s">
        <v>1102</v>
      </c>
      <c r="B27" s="138"/>
      <c r="C27" s="138" t="s">
        <v>991</v>
      </c>
      <c r="D27" s="138"/>
      <c r="E27" s="102"/>
      <c r="F27" s="102"/>
      <c r="G27" s="42"/>
    </row>
    <row r="28" spans="1:7" ht="26">
      <c r="A28" s="223" t="s">
        <v>1103</v>
      </c>
      <c r="B28" s="138"/>
      <c r="C28" s="138" t="s">
        <v>2536</v>
      </c>
      <c r="D28" s="138"/>
      <c r="E28" s="102"/>
      <c r="F28" s="102"/>
      <c r="G28" s="42"/>
    </row>
    <row r="29" spans="1:7" ht="13">
      <c r="A29" s="223" t="s">
        <v>1104</v>
      </c>
      <c r="B29" s="138"/>
      <c r="C29" s="138" t="s">
        <v>2537</v>
      </c>
      <c r="D29" s="138"/>
      <c r="E29" s="102"/>
      <c r="F29" s="102"/>
      <c r="G29" s="42"/>
    </row>
    <row r="30" spans="1:7" ht="13">
      <c r="A30" s="223" t="s">
        <v>1105</v>
      </c>
      <c r="B30" s="138"/>
      <c r="C30" s="138" t="s">
        <v>2538</v>
      </c>
      <c r="D30" s="138"/>
      <c r="E30" s="102"/>
      <c r="F30" s="102"/>
      <c r="G30" s="42"/>
    </row>
    <row r="31" spans="1:7" ht="13">
      <c r="A31" s="223" t="s">
        <v>1106</v>
      </c>
      <c r="B31" s="138"/>
      <c r="C31" s="213" t="s">
        <v>2539</v>
      </c>
      <c r="D31" s="138"/>
      <c r="E31" s="102"/>
      <c r="F31" s="102"/>
      <c r="G31" s="42"/>
    </row>
    <row r="32" spans="1:7" ht="26">
      <c r="A32" s="223" t="s">
        <v>1107</v>
      </c>
      <c r="B32" s="138"/>
      <c r="C32" s="213" t="s">
        <v>2540</v>
      </c>
      <c r="D32" s="138"/>
      <c r="E32" s="102"/>
      <c r="F32" s="102"/>
      <c r="G32" s="42"/>
    </row>
    <row r="33" spans="1:7" ht="13">
      <c r="A33" s="223" t="s">
        <v>1108</v>
      </c>
      <c r="B33" s="138"/>
      <c r="C33" s="138" t="s">
        <v>2541</v>
      </c>
      <c r="D33" s="138"/>
      <c r="E33" s="102"/>
      <c r="F33" s="102"/>
      <c r="G33" s="42"/>
    </row>
    <row r="34" spans="1:7" ht="13">
      <c r="A34" s="223" t="s">
        <v>1109</v>
      </c>
      <c r="B34" s="138"/>
      <c r="C34" s="138" t="s">
        <v>2542</v>
      </c>
      <c r="D34" s="138"/>
      <c r="E34" s="102"/>
      <c r="F34" s="102"/>
      <c r="G34" s="42"/>
    </row>
    <row r="35" spans="1:7" ht="13">
      <c r="A35" s="223" t="s">
        <v>1110</v>
      </c>
      <c r="B35" s="138"/>
      <c r="C35" s="138" t="s">
        <v>2543</v>
      </c>
      <c r="D35" s="138"/>
      <c r="E35" s="102"/>
      <c r="F35" s="102"/>
      <c r="G35" s="42"/>
    </row>
    <row r="36" spans="1:7" ht="91">
      <c r="A36" s="223" t="s">
        <v>1111</v>
      </c>
      <c r="B36" s="200"/>
      <c r="C36" s="138" t="s">
        <v>2628</v>
      </c>
      <c r="D36" s="144"/>
      <c r="E36" s="405"/>
      <c r="F36" s="430"/>
      <c r="G36" s="405"/>
    </row>
    <row r="37" spans="1:7" ht="26">
      <c r="A37" s="223" t="s">
        <v>1112</v>
      </c>
      <c r="B37" s="425"/>
      <c r="C37" s="426" t="s">
        <v>1122</v>
      </c>
      <c r="D37" s="427" t="s">
        <v>7</v>
      </c>
      <c r="E37" s="428">
        <v>10</v>
      </c>
      <c r="F37" s="428"/>
      <c r="G37" s="548">
        <f>E37*F37</f>
        <v>0</v>
      </c>
    </row>
    <row r="38" spans="1:7" ht="26">
      <c r="A38" s="223" t="s">
        <v>1113</v>
      </c>
      <c r="B38" s="425"/>
      <c r="C38" s="426" t="s">
        <v>1123</v>
      </c>
      <c r="D38" s="427" t="s">
        <v>7</v>
      </c>
      <c r="E38" s="428">
        <v>3</v>
      </c>
      <c r="F38" s="428"/>
      <c r="G38" s="548">
        <f t="shared" ref="G38:G75" si="0">E38*F38</f>
        <v>0</v>
      </c>
    </row>
    <row r="39" spans="1:7" ht="26">
      <c r="A39" s="223" t="s">
        <v>1114</v>
      </c>
      <c r="B39" s="425"/>
      <c r="C39" s="426" t="s">
        <v>1124</v>
      </c>
      <c r="D39" s="427" t="s">
        <v>7</v>
      </c>
      <c r="E39" s="542">
        <v>7</v>
      </c>
      <c r="F39" s="428"/>
      <c r="G39" s="548">
        <f t="shared" si="0"/>
        <v>0</v>
      </c>
    </row>
    <row r="40" spans="1:7" ht="26">
      <c r="A40" s="223" t="s">
        <v>1115</v>
      </c>
      <c r="B40" s="425"/>
      <c r="C40" s="426" t="s">
        <v>1125</v>
      </c>
      <c r="D40" s="427" t="s">
        <v>7</v>
      </c>
      <c r="E40" s="542">
        <v>8</v>
      </c>
      <c r="F40" s="428"/>
      <c r="G40" s="548">
        <f t="shared" si="0"/>
        <v>0</v>
      </c>
    </row>
    <row r="41" spans="1:7" ht="26">
      <c r="A41" s="223" t="s">
        <v>1116</v>
      </c>
      <c r="B41" s="425"/>
      <c r="C41" s="426" t="s">
        <v>1126</v>
      </c>
      <c r="D41" s="427" t="s">
        <v>7</v>
      </c>
      <c r="E41" s="542">
        <v>32</v>
      </c>
      <c r="F41" s="428"/>
      <c r="G41" s="548">
        <f t="shared" si="0"/>
        <v>0</v>
      </c>
    </row>
    <row r="42" spans="1:7" ht="26">
      <c r="A42" s="223" t="s">
        <v>1117</v>
      </c>
      <c r="B42" s="425"/>
      <c r="C42" s="426" t="s">
        <v>1127</v>
      </c>
      <c r="D42" s="427" t="s">
        <v>7</v>
      </c>
      <c r="E42" s="428">
        <v>1</v>
      </c>
      <c r="F42" s="428"/>
      <c r="G42" s="548">
        <f t="shared" si="0"/>
        <v>0</v>
      </c>
    </row>
    <row r="43" spans="1:7" ht="26">
      <c r="A43" s="223" t="s">
        <v>1414</v>
      </c>
      <c r="B43" s="425"/>
      <c r="C43" s="426" t="s">
        <v>1128</v>
      </c>
      <c r="D43" s="427" t="s">
        <v>7</v>
      </c>
      <c r="E43" s="428">
        <v>10</v>
      </c>
      <c r="F43" s="428"/>
      <c r="G43" s="548">
        <f t="shared" si="0"/>
        <v>0</v>
      </c>
    </row>
    <row r="44" spans="1:7" ht="26">
      <c r="A44" s="223" t="s">
        <v>1118</v>
      </c>
      <c r="B44" s="425"/>
      <c r="C44" s="426" t="s">
        <v>1129</v>
      </c>
      <c r="D44" s="427" t="s">
        <v>7</v>
      </c>
      <c r="E44" s="428">
        <v>2</v>
      </c>
      <c r="F44" s="428"/>
      <c r="G44" s="548">
        <f t="shared" si="0"/>
        <v>0</v>
      </c>
    </row>
    <row r="45" spans="1:7" ht="26">
      <c r="A45" s="223" t="s">
        <v>1119</v>
      </c>
      <c r="B45" s="425"/>
      <c r="C45" s="426" t="s">
        <v>1130</v>
      </c>
      <c r="D45" s="427" t="s">
        <v>7</v>
      </c>
      <c r="E45" s="428">
        <v>5</v>
      </c>
      <c r="F45" s="428"/>
      <c r="G45" s="548">
        <f t="shared" si="0"/>
        <v>0</v>
      </c>
    </row>
    <row r="46" spans="1:7" ht="26">
      <c r="A46" s="223" t="s">
        <v>1120</v>
      </c>
      <c r="B46" s="425"/>
      <c r="C46" s="426" t="s">
        <v>1131</v>
      </c>
      <c r="D46" s="427" t="s">
        <v>7</v>
      </c>
      <c r="E46" s="428">
        <v>2</v>
      </c>
      <c r="F46" s="428"/>
      <c r="G46" s="548">
        <f t="shared" si="0"/>
        <v>0</v>
      </c>
    </row>
    <row r="47" spans="1:7" ht="26">
      <c r="A47" s="223" t="s">
        <v>1415</v>
      </c>
      <c r="B47" s="425"/>
      <c r="C47" s="426" t="s">
        <v>1132</v>
      </c>
      <c r="D47" s="427" t="s">
        <v>7</v>
      </c>
      <c r="E47" s="428">
        <v>2</v>
      </c>
      <c r="F47" s="428"/>
      <c r="G47" s="548">
        <f t="shared" si="0"/>
        <v>0</v>
      </c>
    </row>
    <row r="48" spans="1:7" ht="13">
      <c r="A48" s="223" t="s">
        <v>1416</v>
      </c>
      <c r="B48" s="425"/>
      <c r="C48" s="426" t="s">
        <v>1133</v>
      </c>
      <c r="D48" s="427" t="s">
        <v>7</v>
      </c>
      <c r="E48" s="428">
        <v>30</v>
      </c>
      <c r="F48" s="428"/>
      <c r="G48" s="548">
        <f t="shared" si="0"/>
        <v>0</v>
      </c>
    </row>
    <row r="49" spans="1:7" ht="13">
      <c r="A49" s="223" t="s">
        <v>1417</v>
      </c>
      <c r="B49" s="425"/>
      <c r="C49" s="426" t="s">
        <v>1135</v>
      </c>
      <c r="D49" s="427" t="s">
        <v>7</v>
      </c>
      <c r="E49" s="428">
        <v>1</v>
      </c>
      <c r="F49" s="428"/>
      <c r="G49" s="548">
        <f t="shared" si="0"/>
        <v>0</v>
      </c>
    </row>
    <row r="50" spans="1:7" ht="13">
      <c r="A50" s="223" t="s">
        <v>1418</v>
      </c>
      <c r="B50" s="425"/>
      <c r="C50" s="426" t="s">
        <v>1136</v>
      </c>
      <c r="D50" s="427" t="s">
        <v>7</v>
      </c>
      <c r="E50" s="428">
        <v>2</v>
      </c>
      <c r="F50" s="428"/>
      <c r="G50" s="548">
        <f t="shared" si="0"/>
        <v>0</v>
      </c>
    </row>
    <row r="51" spans="1:7" ht="13">
      <c r="A51" s="223" t="s">
        <v>1419</v>
      </c>
      <c r="B51" s="425"/>
      <c r="C51" s="426" t="s">
        <v>1137</v>
      </c>
      <c r="D51" s="427" t="s">
        <v>7</v>
      </c>
      <c r="E51" s="428">
        <v>1</v>
      </c>
      <c r="F51" s="428"/>
      <c r="G51" s="548">
        <f t="shared" si="0"/>
        <v>0</v>
      </c>
    </row>
    <row r="52" spans="1:7" ht="13">
      <c r="A52" s="223" t="s">
        <v>1420</v>
      </c>
      <c r="B52" s="425"/>
      <c r="C52" s="426" t="s">
        <v>1138</v>
      </c>
      <c r="D52" s="427" t="s">
        <v>7</v>
      </c>
      <c r="E52" s="428">
        <v>1</v>
      </c>
      <c r="F52" s="428"/>
      <c r="G52" s="548">
        <f t="shared" si="0"/>
        <v>0</v>
      </c>
    </row>
    <row r="53" spans="1:7" ht="26">
      <c r="A53" s="223" t="s">
        <v>1421</v>
      </c>
      <c r="B53" s="425"/>
      <c r="C53" s="426" t="s">
        <v>1139</v>
      </c>
      <c r="D53" s="427" t="s">
        <v>7</v>
      </c>
      <c r="E53" s="428">
        <v>1</v>
      </c>
      <c r="F53" s="428"/>
      <c r="G53" s="548">
        <f t="shared" si="0"/>
        <v>0</v>
      </c>
    </row>
    <row r="54" spans="1:7" ht="26">
      <c r="A54" s="223" t="s">
        <v>1422</v>
      </c>
      <c r="B54" s="425"/>
      <c r="C54" s="426" t="s">
        <v>1140</v>
      </c>
      <c r="D54" s="427" t="s">
        <v>7</v>
      </c>
      <c r="E54" s="428">
        <v>1</v>
      </c>
      <c r="F54" s="428"/>
      <c r="G54" s="548">
        <f t="shared" si="0"/>
        <v>0</v>
      </c>
    </row>
    <row r="55" spans="1:7" ht="26">
      <c r="A55" s="223" t="s">
        <v>1423</v>
      </c>
      <c r="B55" s="425"/>
      <c r="C55" s="426" t="s">
        <v>1141</v>
      </c>
      <c r="D55" s="427" t="s">
        <v>7</v>
      </c>
      <c r="E55" s="428">
        <v>1</v>
      </c>
      <c r="F55" s="428"/>
      <c r="G55" s="548">
        <f t="shared" si="0"/>
        <v>0</v>
      </c>
    </row>
    <row r="56" spans="1:7" ht="13">
      <c r="A56" s="223" t="s">
        <v>1424</v>
      </c>
      <c r="B56" s="425"/>
      <c r="C56" s="426" t="s">
        <v>1142</v>
      </c>
      <c r="D56" s="427" t="s">
        <v>7</v>
      </c>
      <c r="E56" s="428">
        <v>1</v>
      </c>
      <c r="F56" s="428"/>
      <c r="G56" s="548">
        <f t="shared" si="0"/>
        <v>0</v>
      </c>
    </row>
    <row r="57" spans="1:7" ht="13">
      <c r="A57" s="223" t="s">
        <v>1425</v>
      </c>
      <c r="B57" s="425"/>
      <c r="C57" s="426" t="s">
        <v>1143</v>
      </c>
      <c r="D57" s="427" t="s">
        <v>7</v>
      </c>
      <c r="E57" s="428">
        <v>3</v>
      </c>
      <c r="F57" s="428"/>
      <c r="G57" s="548">
        <f t="shared" si="0"/>
        <v>0</v>
      </c>
    </row>
    <row r="58" spans="1:7" ht="13">
      <c r="A58" s="223" t="s">
        <v>1426</v>
      </c>
      <c r="B58" s="425"/>
      <c r="C58" s="426" t="s">
        <v>1145</v>
      </c>
      <c r="D58" s="427" t="s">
        <v>7</v>
      </c>
      <c r="E58" s="428">
        <v>20</v>
      </c>
      <c r="F58" s="428"/>
      <c r="G58" s="548">
        <f t="shared" si="0"/>
        <v>0</v>
      </c>
    </row>
    <row r="59" spans="1:7" ht="13">
      <c r="A59" s="223" t="s">
        <v>1427</v>
      </c>
      <c r="B59" s="425"/>
      <c r="C59" s="426" t="s">
        <v>1146</v>
      </c>
      <c r="D59" s="427" t="s">
        <v>7</v>
      </c>
      <c r="E59" s="428">
        <v>2</v>
      </c>
      <c r="F59" s="428"/>
      <c r="G59" s="548">
        <f t="shared" si="0"/>
        <v>0</v>
      </c>
    </row>
    <row r="60" spans="1:7" ht="13">
      <c r="A60" s="223" t="s">
        <v>1428</v>
      </c>
      <c r="B60" s="425"/>
      <c r="C60" s="426" t="s">
        <v>1147</v>
      </c>
      <c r="D60" s="427" t="s">
        <v>7</v>
      </c>
      <c r="E60" s="428">
        <v>5</v>
      </c>
      <c r="F60" s="428"/>
      <c r="G60" s="548">
        <f t="shared" si="0"/>
        <v>0</v>
      </c>
    </row>
    <row r="61" spans="1:7" ht="13">
      <c r="A61" s="223" t="s">
        <v>1429</v>
      </c>
      <c r="B61" s="425"/>
      <c r="C61" s="426" t="s">
        <v>1148</v>
      </c>
      <c r="D61" s="427" t="s">
        <v>7</v>
      </c>
      <c r="E61" s="428">
        <v>10</v>
      </c>
      <c r="F61" s="428"/>
      <c r="G61" s="548">
        <f t="shared" si="0"/>
        <v>0</v>
      </c>
    </row>
    <row r="62" spans="1:7" ht="13">
      <c r="A62" s="223" t="s">
        <v>1430</v>
      </c>
      <c r="B62" s="425"/>
      <c r="C62" s="426" t="s">
        <v>1149</v>
      </c>
      <c r="D62" s="427" t="s">
        <v>7</v>
      </c>
      <c r="E62" s="428">
        <v>82</v>
      </c>
      <c r="F62" s="428"/>
      <c r="G62" s="548">
        <f t="shared" si="0"/>
        <v>0</v>
      </c>
    </row>
    <row r="63" spans="1:7" ht="13">
      <c r="A63" s="223" t="s">
        <v>1431</v>
      </c>
      <c r="B63" s="425"/>
      <c r="C63" s="426" t="s">
        <v>1150</v>
      </c>
      <c r="D63" s="427" t="s">
        <v>7</v>
      </c>
      <c r="E63" s="428">
        <v>30</v>
      </c>
      <c r="F63" s="428"/>
      <c r="G63" s="548">
        <f t="shared" si="0"/>
        <v>0</v>
      </c>
    </row>
    <row r="64" spans="1:7" ht="13">
      <c r="A64" s="223" t="s">
        <v>1432</v>
      </c>
      <c r="B64" s="425"/>
      <c r="C64" s="426" t="s">
        <v>1151</v>
      </c>
      <c r="D64" s="427" t="s">
        <v>7</v>
      </c>
      <c r="E64" s="428">
        <v>1</v>
      </c>
      <c r="F64" s="428"/>
      <c r="G64" s="548">
        <f t="shared" si="0"/>
        <v>0</v>
      </c>
    </row>
    <row r="65" spans="1:7" ht="13">
      <c r="A65" s="223" t="s">
        <v>1433</v>
      </c>
      <c r="B65" s="425"/>
      <c r="C65" s="426" t="s">
        <v>1152</v>
      </c>
      <c r="D65" s="427" t="s">
        <v>7</v>
      </c>
      <c r="E65" s="428">
        <v>1</v>
      </c>
      <c r="F65" s="428"/>
      <c r="G65" s="548">
        <f t="shared" si="0"/>
        <v>0</v>
      </c>
    </row>
    <row r="66" spans="1:7" ht="13">
      <c r="A66" s="223" t="s">
        <v>1434</v>
      </c>
      <c r="B66" s="425"/>
      <c r="C66" s="426" t="s">
        <v>1153</v>
      </c>
      <c r="D66" s="427" t="s">
        <v>1154</v>
      </c>
      <c r="E66" s="428">
        <v>1</v>
      </c>
      <c r="F66" s="428"/>
      <c r="G66" s="548">
        <f t="shared" si="0"/>
        <v>0</v>
      </c>
    </row>
    <row r="67" spans="1:7" ht="13">
      <c r="A67" s="223" t="s">
        <v>1435</v>
      </c>
      <c r="B67" s="425"/>
      <c r="C67" s="426" t="s">
        <v>1155</v>
      </c>
      <c r="D67" s="427" t="s">
        <v>1154</v>
      </c>
      <c r="E67" s="428">
        <v>1</v>
      </c>
      <c r="F67" s="428"/>
      <c r="G67" s="548">
        <f t="shared" si="0"/>
        <v>0</v>
      </c>
    </row>
    <row r="68" spans="1:7" ht="13">
      <c r="A68" s="223" t="s">
        <v>1436</v>
      </c>
      <c r="B68" s="425"/>
      <c r="C68" s="426" t="s">
        <v>1156</v>
      </c>
      <c r="D68" s="427" t="s">
        <v>1154</v>
      </c>
      <c r="E68" s="428">
        <v>1</v>
      </c>
      <c r="F68" s="428"/>
      <c r="G68" s="548">
        <f t="shared" si="0"/>
        <v>0</v>
      </c>
    </row>
    <row r="69" spans="1:7" ht="13">
      <c r="A69" s="223" t="s">
        <v>1437</v>
      </c>
      <c r="B69" s="425"/>
      <c r="C69" s="426" t="s">
        <v>2626</v>
      </c>
      <c r="D69" s="427" t="s">
        <v>7</v>
      </c>
      <c r="E69" s="428">
        <v>1</v>
      </c>
      <c r="F69" s="428"/>
      <c r="G69" s="548">
        <f t="shared" si="0"/>
        <v>0</v>
      </c>
    </row>
    <row r="70" spans="1:7" ht="39">
      <c r="A70" s="223" t="s">
        <v>1438</v>
      </c>
      <c r="B70" s="556"/>
      <c r="C70" s="426" t="s">
        <v>1411</v>
      </c>
      <c r="D70" s="427" t="s">
        <v>7</v>
      </c>
      <c r="E70" s="428">
        <v>1</v>
      </c>
      <c r="F70" s="428"/>
      <c r="G70" s="548">
        <f t="shared" si="0"/>
        <v>0</v>
      </c>
    </row>
    <row r="71" spans="1:7" ht="13">
      <c r="A71" s="223" t="s">
        <v>1439</v>
      </c>
      <c r="C71" s="426" t="s">
        <v>1157</v>
      </c>
      <c r="D71" s="427" t="s">
        <v>7</v>
      </c>
      <c r="E71" s="428">
        <v>5</v>
      </c>
      <c r="F71" s="428"/>
      <c r="G71" s="548">
        <f t="shared" si="0"/>
        <v>0</v>
      </c>
    </row>
    <row r="72" spans="1:7" ht="13">
      <c r="A72" s="223" t="s">
        <v>1440</v>
      </c>
      <c r="C72" s="426" t="s">
        <v>1158</v>
      </c>
      <c r="D72" s="427" t="s">
        <v>7</v>
      </c>
      <c r="E72" s="428">
        <v>4</v>
      </c>
      <c r="F72" s="428"/>
      <c r="G72" s="548">
        <f t="shared" si="0"/>
        <v>0</v>
      </c>
    </row>
    <row r="73" spans="1:7" ht="13">
      <c r="A73" s="223" t="s">
        <v>1441</v>
      </c>
      <c r="C73" s="426" t="s">
        <v>1159</v>
      </c>
      <c r="D73" s="427" t="s">
        <v>7</v>
      </c>
      <c r="E73" s="428">
        <v>1</v>
      </c>
      <c r="F73" s="428"/>
      <c r="G73" s="548">
        <f t="shared" si="0"/>
        <v>0</v>
      </c>
    </row>
    <row r="74" spans="1:7" ht="13">
      <c r="A74" s="223" t="s">
        <v>1442</v>
      </c>
      <c r="C74" s="426" t="s">
        <v>1160</v>
      </c>
      <c r="D74" s="427" t="s">
        <v>7</v>
      </c>
      <c r="E74" s="428">
        <v>1</v>
      </c>
      <c r="F74" s="428"/>
      <c r="G74" s="548">
        <f t="shared" si="0"/>
        <v>0</v>
      </c>
    </row>
    <row r="75" spans="1:7" ht="13">
      <c r="A75" s="223" t="s">
        <v>1443</v>
      </c>
      <c r="C75" s="426" t="s">
        <v>1161</v>
      </c>
      <c r="D75" s="427" t="s">
        <v>7</v>
      </c>
      <c r="E75" s="428">
        <v>1</v>
      </c>
      <c r="F75" s="721"/>
      <c r="G75" s="548">
        <f t="shared" si="0"/>
        <v>0</v>
      </c>
    </row>
  </sheetData>
  <phoneticPr fontId="130" type="noConversion"/>
  <printOptions gridLines="1"/>
  <pageMargins left="0.31496062992125984" right="0.31496062992125984" top="0.59055118110236227" bottom="0.59055118110236227" header="0.31496062992125984" footer="0.31496062992125984"/>
  <pageSetup scale="83" fitToHeight="100" orientation="portrait" r:id="rId1"/>
  <headerFooter>
    <oddFooter>&amp;C&amp;P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IR70"/>
  <sheetViews>
    <sheetView topLeftCell="A30" workbookViewId="0">
      <selection activeCell="F38" sqref="F38:F70"/>
    </sheetView>
  </sheetViews>
  <sheetFormatPr baseColWidth="10" defaultColWidth="11.83203125" defaultRowHeight="12"/>
  <cols>
    <col min="1" max="1" width="6.5" style="51" customWidth="1"/>
    <col min="2" max="2" width="6.83203125" style="564" customWidth="1"/>
    <col min="3" max="3" width="67.33203125" style="564" customWidth="1"/>
    <col min="4" max="4" width="8.83203125" style="566" customWidth="1"/>
    <col min="5" max="5" width="8.33203125" style="567" customWidth="1"/>
    <col min="6" max="6" width="11.83203125" style="568"/>
    <col min="7" max="7" width="11.83203125" style="569"/>
    <col min="8" max="252" width="8.83203125" style="564" customWidth="1"/>
    <col min="253" max="16384" width="11.83203125" style="51"/>
  </cols>
  <sheetData>
    <row r="1" spans="1:7" ht="15">
      <c r="A1" s="282"/>
      <c r="B1" s="138"/>
      <c r="C1" s="78" t="s">
        <v>974</v>
      </c>
      <c r="D1" s="144"/>
      <c r="E1" s="423"/>
      <c r="F1" s="423"/>
      <c r="G1" s="430"/>
    </row>
    <row r="2" spans="1:7" ht="14">
      <c r="A2" s="282"/>
      <c r="B2" s="138"/>
      <c r="C2" s="152" t="s">
        <v>2578</v>
      </c>
      <c r="D2" s="144"/>
      <c r="E2" s="423"/>
      <c r="F2" s="423"/>
      <c r="G2" s="430"/>
    </row>
    <row r="3" spans="1:7">
      <c r="A3" s="282"/>
      <c r="B3" s="138"/>
      <c r="C3" s="77"/>
      <c r="D3" s="144"/>
      <c r="E3" s="423"/>
      <c r="F3" s="423"/>
      <c r="G3" s="430"/>
    </row>
    <row r="4" spans="1:7" ht="13">
      <c r="A4" s="282"/>
      <c r="B4" s="138"/>
      <c r="C4" s="174" t="s">
        <v>947</v>
      </c>
      <c r="D4" s="144"/>
      <c r="E4" s="423"/>
      <c r="F4" s="423"/>
      <c r="G4" s="430"/>
    </row>
    <row r="5" spans="1:7" ht="13">
      <c r="A5" s="282"/>
      <c r="B5" s="138"/>
      <c r="C5" s="77" t="s">
        <v>975</v>
      </c>
      <c r="D5" s="144"/>
      <c r="E5" s="423"/>
      <c r="F5" s="423"/>
      <c r="G5" s="430"/>
    </row>
    <row r="6" spans="1:7">
      <c r="A6" s="282"/>
      <c r="B6" s="138"/>
      <c r="C6" s="174"/>
      <c r="D6" s="144"/>
      <c r="E6" s="423"/>
      <c r="F6" s="423"/>
      <c r="G6" s="430"/>
    </row>
    <row r="7" spans="1:7">
      <c r="A7" s="282"/>
      <c r="B7" s="459"/>
      <c r="C7" s="77"/>
      <c r="D7" s="144"/>
      <c r="E7" s="423"/>
      <c r="F7" s="423"/>
      <c r="G7" s="430"/>
    </row>
    <row r="8" spans="1:7" ht="13">
      <c r="A8" s="635" t="s">
        <v>2676</v>
      </c>
      <c r="B8" s="441"/>
      <c r="C8" s="138"/>
      <c r="D8" s="144"/>
      <c r="E8" s="423"/>
      <c r="F8" s="423"/>
      <c r="G8" s="430"/>
    </row>
    <row r="9" spans="1:7" ht="13">
      <c r="A9" s="443" t="s">
        <v>2675</v>
      </c>
      <c r="B9" s="441"/>
      <c r="C9" s="1"/>
      <c r="D9" s="144"/>
      <c r="E9" s="423"/>
      <c r="F9" s="423"/>
      <c r="G9" s="430"/>
    </row>
    <row r="10" spans="1:7">
      <c r="A10" s="282"/>
      <c r="B10" s="459"/>
      <c r="C10" s="77"/>
      <c r="D10" s="144"/>
      <c r="E10" s="423"/>
      <c r="F10" s="423"/>
      <c r="G10" s="430"/>
    </row>
    <row r="11" spans="1:7">
      <c r="A11" s="282"/>
      <c r="B11" s="138"/>
      <c r="C11" s="77"/>
      <c r="D11" s="144"/>
      <c r="E11" s="423"/>
      <c r="F11" s="423"/>
      <c r="G11" s="430"/>
    </row>
    <row r="12" spans="1:7" ht="13">
      <c r="A12" s="282"/>
      <c r="B12" s="138"/>
      <c r="C12" s="200" t="s">
        <v>2684</v>
      </c>
      <c r="D12" s="144"/>
      <c r="E12" s="423"/>
      <c r="F12" s="423"/>
      <c r="G12" s="430"/>
    </row>
    <row r="13" spans="1:7">
      <c r="A13" s="282"/>
      <c r="B13" s="138"/>
      <c r="C13" s="77"/>
      <c r="D13" s="144"/>
      <c r="E13" s="423"/>
      <c r="F13" s="423"/>
      <c r="G13" s="430"/>
    </row>
    <row r="14" spans="1:7">
      <c r="B14" s="138"/>
      <c r="C14" s="200"/>
      <c r="D14" s="144"/>
      <c r="E14" s="423"/>
      <c r="F14" s="423"/>
      <c r="G14" s="61"/>
    </row>
    <row r="15" spans="1:7" ht="13">
      <c r="A15" s="481">
        <v>1</v>
      </c>
      <c r="B15" s="138"/>
      <c r="C15" s="144" t="s">
        <v>1162</v>
      </c>
      <c r="D15" s="144" t="s">
        <v>48</v>
      </c>
      <c r="E15" s="423"/>
      <c r="F15" s="423"/>
      <c r="G15" s="61">
        <f>SUM(G37:G70)</f>
        <v>0</v>
      </c>
    </row>
    <row r="16" spans="1:7">
      <c r="A16" s="481">
        <v>2</v>
      </c>
      <c r="B16" s="138"/>
      <c r="C16" s="144"/>
      <c r="D16" s="144"/>
      <c r="E16" s="423"/>
      <c r="F16" s="423"/>
      <c r="G16" s="61"/>
    </row>
    <row r="17" spans="1:252">
      <c r="A17" s="481">
        <v>3</v>
      </c>
      <c r="B17" s="138"/>
      <c r="C17" s="144"/>
      <c r="D17" s="144"/>
      <c r="E17" s="423"/>
      <c r="F17" s="423"/>
      <c r="G17" s="61"/>
    </row>
    <row r="18" spans="1:252">
      <c r="A18" s="481">
        <v>4</v>
      </c>
      <c r="B18" s="138"/>
      <c r="C18" s="419"/>
      <c r="D18" s="138"/>
      <c r="E18" s="102"/>
      <c r="F18" s="102"/>
      <c r="G18" s="48"/>
    </row>
    <row r="19" spans="1:252" s="489" customFormat="1" ht="26">
      <c r="A19" s="565" t="s">
        <v>52</v>
      </c>
      <c r="B19" s="79"/>
      <c r="C19" s="79" t="s">
        <v>979</v>
      </c>
      <c r="D19" s="576" t="s">
        <v>980</v>
      </c>
      <c r="E19" s="578" t="s">
        <v>981</v>
      </c>
      <c r="F19" s="578" t="s">
        <v>982</v>
      </c>
      <c r="G19" s="577" t="s">
        <v>983</v>
      </c>
      <c r="H19" s="588"/>
      <c r="I19" s="588"/>
      <c r="J19" s="588"/>
      <c r="K19" s="588"/>
      <c r="L19" s="588"/>
      <c r="M19" s="588"/>
      <c r="N19" s="588"/>
      <c r="O19" s="588"/>
      <c r="P19" s="588"/>
      <c r="Q19" s="588"/>
      <c r="R19" s="588"/>
      <c r="S19" s="588"/>
      <c r="T19" s="588"/>
      <c r="U19" s="588"/>
      <c r="V19" s="588"/>
      <c r="W19" s="588"/>
      <c r="X19" s="588"/>
      <c r="Y19" s="588"/>
      <c r="Z19" s="588"/>
      <c r="AA19" s="588"/>
      <c r="AB19" s="588"/>
      <c r="AC19" s="588"/>
      <c r="AD19" s="588"/>
      <c r="AE19" s="588"/>
      <c r="AF19" s="588"/>
      <c r="AG19" s="588"/>
      <c r="AH19" s="588"/>
      <c r="AI19" s="588"/>
      <c r="AJ19" s="588"/>
      <c r="AK19" s="588"/>
      <c r="AL19" s="588"/>
      <c r="AM19" s="588"/>
      <c r="AN19" s="588"/>
      <c r="AO19" s="588"/>
      <c r="AP19" s="588"/>
      <c r="AQ19" s="588"/>
      <c r="AR19" s="588"/>
      <c r="AS19" s="588"/>
      <c r="AT19" s="588"/>
      <c r="AU19" s="588"/>
      <c r="AV19" s="588"/>
      <c r="AW19" s="588"/>
      <c r="AX19" s="588"/>
      <c r="AY19" s="588"/>
      <c r="AZ19" s="588"/>
      <c r="BA19" s="588"/>
      <c r="BB19" s="588"/>
      <c r="BC19" s="588"/>
      <c r="BD19" s="588"/>
      <c r="BE19" s="588"/>
      <c r="BF19" s="588"/>
      <c r="BG19" s="588"/>
      <c r="BH19" s="588"/>
      <c r="BI19" s="588"/>
      <c r="BJ19" s="588"/>
      <c r="BK19" s="588"/>
      <c r="BL19" s="588"/>
      <c r="BM19" s="588"/>
      <c r="BN19" s="588"/>
      <c r="BO19" s="588"/>
      <c r="BP19" s="588"/>
      <c r="BQ19" s="588"/>
      <c r="BR19" s="588"/>
      <c r="BS19" s="588"/>
      <c r="BT19" s="588"/>
      <c r="BU19" s="588"/>
      <c r="BV19" s="588"/>
      <c r="BW19" s="588"/>
      <c r="BX19" s="588"/>
      <c r="BY19" s="588"/>
      <c r="BZ19" s="588"/>
      <c r="CA19" s="588"/>
      <c r="CB19" s="588"/>
      <c r="CC19" s="588"/>
      <c r="CD19" s="588"/>
      <c r="CE19" s="588"/>
      <c r="CF19" s="588"/>
      <c r="CG19" s="588"/>
      <c r="CH19" s="588"/>
      <c r="CI19" s="588"/>
      <c r="CJ19" s="588"/>
      <c r="CK19" s="588"/>
      <c r="CL19" s="588"/>
      <c r="CM19" s="588"/>
      <c r="CN19" s="588"/>
      <c r="CO19" s="588"/>
      <c r="CP19" s="588"/>
      <c r="CQ19" s="588"/>
      <c r="CR19" s="588"/>
      <c r="CS19" s="588"/>
      <c r="CT19" s="588"/>
      <c r="CU19" s="588"/>
      <c r="CV19" s="588"/>
      <c r="CW19" s="588"/>
      <c r="CX19" s="588"/>
      <c r="CY19" s="588"/>
      <c r="CZ19" s="588"/>
      <c r="DA19" s="588"/>
      <c r="DB19" s="588"/>
      <c r="DC19" s="588"/>
      <c r="DD19" s="588"/>
      <c r="DE19" s="588"/>
      <c r="DF19" s="588"/>
      <c r="DG19" s="588"/>
      <c r="DH19" s="588"/>
      <c r="DI19" s="588"/>
      <c r="DJ19" s="588"/>
      <c r="DK19" s="588"/>
      <c r="DL19" s="588"/>
      <c r="DM19" s="588"/>
      <c r="DN19" s="588"/>
      <c r="DO19" s="588"/>
      <c r="DP19" s="588"/>
      <c r="DQ19" s="588"/>
      <c r="DR19" s="588"/>
      <c r="DS19" s="588"/>
      <c r="DT19" s="588"/>
      <c r="DU19" s="588"/>
      <c r="DV19" s="588"/>
      <c r="DW19" s="588"/>
      <c r="DX19" s="588"/>
      <c r="DY19" s="588"/>
      <c r="DZ19" s="588"/>
      <c r="EA19" s="588"/>
      <c r="EB19" s="588"/>
      <c r="EC19" s="588"/>
      <c r="ED19" s="588"/>
      <c r="EE19" s="588"/>
      <c r="EF19" s="588"/>
      <c r="EG19" s="588"/>
      <c r="EH19" s="588"/>
      <c r="EI19" s="588"/>
      <c r="EJ19" s="588"/>
      <c r="EK19" s="588"/>
      <c r="EL19" s="588"/>
      <c r="EM19" s="588"/>
      <c r="EN19" s="588"/>
      <c r="EO19" s="588"/>
      <c r="EP19" s="588"/>
      <c r="EQ19" s="588"/>
      <c r="ER19" s="588"/>
      <c r="ES19" s="588"/>
      <c r="ET19" s="588"/>
      <c r="EU19" s="588"/>
      <c r="EV19" s="588"/>
      <c r="EW19" s="588"/>
      <c r="EX19" s="588"/>
      <c r="EY19" s="588"/>
      <c r="EZ19" s="588"/>
      <c r="FA19" s="588"/>
      <c r="FB19" s="588"/>
      <c r="FC19" s="588"/>
      <c r="FD19" s="588"/>
      <c r="FE19" s="588"/>
      <c r="FF19" s="588"/>
      <c r="FG19" s="588"/>
      <c r="FH19" s="588"/>
      <c r="FI19" s="588"/>
      <c r="FJ19" s="588"/>
      <c r="FK19" s="588"/>
      <c r="FL19" s="588"/>
      <c r="FM19" s="588"/>
      <c r="FN19" s="588"/>
      <c r="FO19" s="588"/>
      <c r="FP19" s="588"/>
      <c r="FQ19" s="588"/>
      <c r="FR19" s="588"/>
      <c r="FS19" s="588"/>
      <c r="FT19" s="588"/>
      <c r="FU19" s="588"/>
      <c r="FV19" s="588"/>
      <c r="FW19" s="588"/>
      <c r="FX19" s="588"/>
      <c r="FY19" s="588"/>
      <c r="FZ19" s="588"/>
      <c r="GA19" s="588"/>
      <c r="GB19" s="588"/>
      <c r="GC19" s="588"/>
      <c r="GD19" s="588"/>
      <c r="GE19" s="588"/>
      <c r="GF19" s="588"/>
      <c r="GG19" s="588"/>
      <c r="GH19" s="588"/>
      <c r="GI19" s="588"/>
      <c r="GJ19" s="588"/>
      <c r="GK19" s="588"/>
      <c r="GL19" s="588"/>
      <c r="GM19" s="588"/>
      <c r="GN19" s="588"/>
      <c r="GO19" s="588"/>
      <c r="GP19" s="588"/>
      <c r="GQ19" s="588"/>
      <c r="GR19" s="588"/>
      <c r="GS19" s="588"/>
      <c r="GT19" s="588"/>
      <c r="GU19" s="588"/>
      <c r="GV19" s="588"/>
      <c r="GW19" s="588"/>
      <c r="GX19" s="588"/>
      <c r="GY19" s="588"/>
      <c r="GZ19" s="588"/>
      <c r="HA19" s="588"/>
      <c r="HB19" s="588"/>
      <c r="HC19" s="588"/>
      <c r="HD19" s="588"/>
      <c r="HE19" s="588"/>
      <c r="HF19" s="588"/>
      <c r="HG19" s="588"/>
      <c r="HH19" s="588"/>
      <c r="HI19" s="588"/>
      <c r="HJ19" s="588"/>
      <c r="HK19" s="588"/>
      <c r="HL19" s="588"/>
      <c r="HM19" s="588"/>
      <c r="HN19" s="588"/>
      <c r="HO19" s="588"/>
      <c r="HP19" s="588"/>
      <c r="HQ19" s="588"/>
      <c r="HR19" s="588"/>
      <c r="HS19" s="588"/>
      <c r="HT19" s="588"/>
      <c r="HU19" s="588"/>
      <c r="HV19" s="588"/>
      <c r="HW19" s="588"/>
      <c r="HX19" s="588"/>
      <c r="HY19" s="588"/>
      <c r="HZ19" s="588"/>
      <c r="IA19" s="588"/>
      <c r="IB19" s="588"/>
      <c r="IC19" s="588"/>
      <c r="ID19" s="588"/>
      <c r="IE19" s="588"/>
      <c r="IF19" s="588"/>
      <c r="IG19" s="588"/>
      <c r="IH19" s="588"/>
      <c r="II19" s="588"/>
      <c r="IJ19" s="588"/>
      <c r="IK19" s="588"/>
      <c r="IL19" s="588"/>
      <c r="IM19" s="588"/>
      <c r="IN19" s="588"/>
      <c r="IO19" s="588"/>
      <c r="IP19" s="588"/>
      <c r="IQ19" s="588"/>
      <c r="IR19" s="588"/>
    </row>
    <row r="20" spans="1:252" ht="13">
      <c r="A20" s="223" t="s">
        <v>1094</v>
      </c>
      <c r="B20" s="138"/>
      <c r="C20" s="138" t="s">
        <v>984</v>
      </c>
      <c r="D20" s="138"/>
      <c r="E20" s="102"/>
      <c r="F20" s="102"/>
      <c r="G20" s="48"/>
    </row>
    <row r="21" spans="1:252" ht="13">
      <c r="A21" s="223" t="s">
        <v>1095</v>
      </c>
      <c r="B21" s="138"/>
      <c r="C21" s="138" t="s">
        <v>985</v>
      </c>
      <c r="D21" s="138"/>
      <c r="E21" s="102"/>
      <c r="F21" s="102"/>
      <c r="G21" s="48"/>
    </row>
    <row r="22" spans="1:252" ht="65">
      <c r="A22" s="223" t="s">
        <v>1096</v>
      </c>
      <c r="B22" s="138"/>
      <c r="C22" s="138" t="s">
        <v>986</v>
      </c>
      <c r="D22" s="138"/>
      <c r="E22" s="102"/>
      <c r="F22" s="102"/>
      <c r="G22" s="48"/>
    </row>
    <row r="23" spans="1:252" ht="26">
      <c r="A23" s="223" t="s">
        <v>1097</v>
      </c>
      <c r="B23" s="138"/>
      <c r="C23" s="314" t="s">
        <v>987</v>
      </c>
      <c r="D23" s="138"/>
      <c r="E23" s="102"/>
      <c r="F23" s="102"/>
      <c r="G23" s="48"/>
    </row>
    <row r="24" spans="1:252" ht="13">
      <c r="A24" s="223" t="s">
        <v>1098</v>
      </c>
      <c r="B24" s="138"/>
      <c r="C24" s="138" t="s">
        <v>988</v>
      </c>
      <c r="D24" s="138"/>
      <c r="E24" s="102"/>
      <c r="F24" s="102"/>
      <c r="G24" s="48"/>
    </row>
    <row r="25" spans="1:252" ht="52">
      <c r="A25" s="223" t="s">
        <v>1099</v>
      </c>
      <c r="B25" s="138"/>
      <c r="C25" s="138" t="s">
        <v>989</v>
      </c>
      <c r="D25" s="138"/>
      <c r="E25" s="102"/>
      <c r="F25" s="102"/>
      <c r="G25" s="48"/>
    </row>
    <row r="26" spans="1:252" ht="13">
      <c r="A26" s="223" t="s">
        <v>1100</v>
      </c>
      <c r="B26" s="138"/>
      <c r="C26" s="138" t="s">
        <v>990</v>
      </c>
      <c r="D26" s="138"/>
      <c r="E26" s="102"/>
      <c r="F26" s="102"/>
      <c r="G26" s="48"/>
    </row>
    <row r="27" spans="1:252" ht="13">
      <c r="A27" s="223" t="s">
        <v>1101</v>
      </c>
      <c r="B27" s="138"/>
      <c r="C27" s="138" t="s">
        <v>991</v>
      </c>
      <c r="D27" s="138"/>
      <c r="E27" s="102"/>
      <c r="F27" s="102"/>
      <c r="G27" s="48"/>
    </row>
    <row r="28" spans="1:252" ht="26">
      <c r="A28" s="223" t="s">
        <v>1102</v>
      </c>
      <c r="B28" s="138"/>
      <c r="C28" s="138" t="s">
        <v>2536</v>
      </c>
      <c r="D28" s="138"/>
      <c r="E28" s="102"/>
      <c r="F28" s="102"/>
      <c r="G28" s="48"/>
    </row>
    <row r="29" spans="1:252" ht="26">
      <c r="A29" s="223" t="s">
        <v>1103</v>
      </c>
      <c r="B29" s="138"/>
      <c r="C29" s="138" t="s">
        <v>2537</v>
      </c>
      <c r="D29" s="138"/>
      <c r="E29" s="102"/>
      <c r="F29" s="102"/>
      <c r="G29" s="48"/>
    </row>
    <row r="30" spans="1:252" ht="13">
      <c r="A30" s="223" t="s">
        <v>1104</v>
      </c>
      <c r="B30" s="138"/>
      <c r="C30" s="138" t="s">
        <v>2538</v>
      </c>
      <c r="D30" s="138"/>
      <c r="E30" s="102"/>
      <c r="F30" s="102"/>
      <c r="G30" s="48"/>
    </row>
    <row r="31" spans="1:252" ht="13">
      <c r="A31" s="223" t="s">
        <v>1105</v>
      </c>
      <c r="B31" s="138"/>
      <c r="C31" s="213" t="s">
        <v>2539</v>
      </c>
      <c r="D31" s="138"/>
      <c r="E31" s="102"/>
      <c r="F31" s="102"/>
      <c r="G31" s="48"/>
    </row>
    <row r="32" spans="1:252" ht="26">
      <c r="A32" s="223" t="s">
        <v>1106</v>
      </c>
      <c r="B32" s="138"/>
      <c r="C32" s="213" t="s">
        <v>2540</v>
      </c>
      <c r="D32" s="138"/>
      <c r="E32" s="102"/>
      <c r="F32" s="102"/>
      <c r="G32" s="48"/>
    </row>
    <row r="33" spans="1:7" ht="13">
      <c r="A33" s="223" t="s">
        <v>1107</v>
      </c>
      <c r="B33" s="138"/>
      <c r="C33" s="138" t="s">
        <v>2541</v>
      </c>
      <c r="D33" s="138"/>
      <c r="E33" s="102"/>
      <c r="F33" s="102"/>
      <c r="G33" s="48"/>
    </row>
    <row r="34" spans="1:7" ht="13">
      <c r="A34" s="223" t="s">
        <v>1108</v>
      </c>
      <c r="B34" s="138"/>
      <c r="C34" s="138" t="s">
        <v>2542</v>
      </c>
      <c r="D34" s="138"/>
      <c r="E34" s="102"/>
      <c r="F34" s="102"/>
      <c r="G34" s="48"/>
    </row>
    <row r="35" spans="1:7" ht="13">
      <c r="A35" s="223" t="s">
        <v>1109</v>
      </c>
      <c r="B35" s="138"/>
      <c r="C35" s="138" t="s">
        <v>2543</v>
      </c>
      <c r="D35" s="138"/>
      <c r="E35" s="102"/>
      <c r="F35" s="102"/>
      <c r="G35" s="48"/>
    </row>
    <row r="36" spans="1:7" ht="91">
      <c r="A36" s="223" t="s">
        <v>1110</v>
      </c>
      <c r="B36" s="200"/>
      <c r="C36" s="138" t="s">
        <v>2629</v>
      </c>
      <c r="D36" s="144"/>
      <c r="E36" s="405"/>
      <c r="F36" s="430"/>
      <c r="G36" s="430"/>
    </row>
    <row r="37" spans="1:7" ht="13">
      <c r="A37" s="223" t="s">
        <v>1111</v>
      </c>
      <c r="B37" s="729"/>
      <c r="C37" s="730" t="s">
        <v>1163</v>
      </c>
      <c r="D37" s="731"/>
      <c r="E37" s="732"/>
      <c r="F37" s="733"/>
      <c r="G37" s="734"/>
    </row>
    <row r="38" spans="1:7" ht="39">
      <c r="A38" s="223" t="s">
        <v>1112</v>
      </c>
      <c r="B38" s="571" t="s">
        <v>1164</v>
      </c>
      <c r="C38" s="573" t="s">
        <v>1165</v>
      </c>
      <c r="D38" s="570" t="s">
        <v>1166</v>
      </c>
      <c r="E38" s="572">
        <v>1</v>
      </c>
      <c r="G38" s="568">
        <f>E38*F38</f>
        <v>0</v>
      </c>
    </row>
    <row r="39" spans="1:7" ht="39">
      <c r="A39" s="223" t="s">
        <v>1113</v>
      </c>
      <c r="B39" s="571" t="s">
        <v>1167</v>
      </c>
      <c r="C39" s="573" t="s">
        <v>1168</v>
      </c>
      <c r="D39" s="570" t="s">
        <v>1166</v>
      </c>
      <c r="E39" s="572">
        <v>2</v>
      </c>
      <c r="G39" s="568">
        <f>E39*F39</f>
        <v>0</v>
      </c>
    </row>
    <row r="40" spans="1:7" ht="39">
      <c r="A40" s="223" t="s">
        <v>1114</v>
      </c>
      <c r="B40" s="571" t="s">
        <v>1169</v>
      </c>
      <c r="C40" s="573" t="s">
        <v>1170</v>
      </c>
      <c r="D40" s="570" t="s">
        <v>1166</v>
      </c>
      <c r="E40" s="572">
        <v>2</v>
      </c>
      <c r="G40" s="568">
        <f>E40*F40</f>
        <v>0</v>
      </c>
    </row>
    <row r="41" spans="1:7" ht="13">
      <c r="A41" s="223" t="s">
        <v>1115</v>
      </c>
      <c r="B41" s="729"/>
      <c r="C41" s="730" t="s">
        <v>1171</v>
      </c>
      <c r="D41" s="731"/>
      <c r="E41" s="732"/>
      <c r="F41" s="733"/>
      <c r="G41" s="733"/>
    </row>
    <row r="42" spans="1:7" ht="39">
      <c r="A42" s="223" t="s">
        <v>1116</v>
      </c>
      <c r="B42" s="571" t="s">
        <v>1172</v>
      </c>
      <c r="C42" s="573" t="s">
        <v>1173</v>
      </c>
      <c r="D42" s="570" t="s">
        <v>1166</v>
      </c>
      <c r="E42" s="572">
        <v>2</v>
      </c>
      <c r="G42" s="568">
        <f t="shared" ref="G42:G48" si="0">E42*F42</f>
        <v>0</v>
      </c>
    </row>
    <row r="43" spans="1:7" ht="26">
      <c r="A43" s="223" t="s">
        <v>1117</v>
      </c>
      <c r="B43" s="571" t="s">
        <v>1174</v>
      </c>
      <c r="C43" s="573" t="s">
        <v>1175</v>
      </c>
      <c r="D43" s="570" t="s">
        <v>1166</v>
      </c>
      <c r="E43" s="572">
        <v>12</v>
      </c>
      <c r="G43" s="568">
        <f t="shared" si="0"/>
        <v>0</v>
      </c>
    </row>
    <row r="44" spans="1:7" ht="39">
      <c r="A44" s="223" t="s">
        <v>1414</v>
      </c>
      <c r="B44" s="571" t="s">
        <v>1176</v>
      </c>
      <c r="C44" s="573" t="s">
        <v>1177</v>
      </c>
      <c r="D44" s="570" t="s">
        <v>1166</v>
      </c>
      <c r="E44" s="572">
        <v>1</v>
      </c>
      <c r="G44" s="568">
        <f t="shared" si="0"/>
        <v>0</v>
      </c>
    </row>
    <row r="45" spans="1:7" ht="26">
      <c r="A45" s="223" t="s">
        <v>1118</v>
      </c>
      <c r="B45" s="571" t="s">
        <v>1178</v>
      </c>
      <c r="C45" s="573" t="s">
        <v>1179</v>
      </c>
      <c r="D45" s="570" t="s">
        <v>1166</v>
      </c>
      <c r="E45" s="572">
        <v>2</v>
      </c>
      <c r="G45" s="568">
        <f t="shared" si="0"/>
        <v>0</v>
      </c>
    </row>
    <row r="46" spans="1:7" ht="52">
      <c r="A46" s="223" t="s">
        <v>1119</v>
      </c>
      <c r="B46" s="571" t="s">
        <v>1180</v>
      </c>
      <c r="C46" s="573" t="s">
        <v>1181</v>
      </c>
      <c r="D46" s="570" t="s">
        <v>1166</v>
      </c>
      <c r="E46" s="572">
        <v>2</v>
      </c>
      <c r="G46" s="568">
        <f t="shared" si="0"/>
        <v>0</v>
      </c>
    </row>
    <row r="47" spans="1:7" ht="52">
      <c r="A47" s="223" t="s">
        <v>1120</v>
      </c>
      <c r="B47" s="571" t="s">
        <v>1182</v>
      </c>
      <c r="C47" s="573" t="s">
        <v>1183</v>
      </c>
      <c r="D47" s="570" t="s">
        <v>1166</v>
      </c>
      <c r="E47" s="572">
        <v>1</v>
      </c>
      <c r="G47" s="568">
        <f t="shared" si="0"/>
        <v>0</v>
      </c>
    </row>
    <row r="48" spans="1:7" ht="52">
      <c r="A48" s="223" t="s">
        <v>1415</v>
      </c>
      <c r="B48" s="571" t="s">
        <v>1184</v>
      </c>
      <c r="C48" s="573" t="s">
        <v>1185</v>
      </c>
      <c r="D48" s="570" t="s">
        <v>1166</v>
      </c>
      <c r="E48" s="572">
        <v>1</v>
      </c>
      <c r="G48" s="568">
        <f t="shared" si="0"/>
        <v>0</v>
      </c>
    </row>
    <row r="49" spans="1:7" ht="13">
      <c r="A49" s="223" t="s">
        <v>1416</v>
      </c>
      <c r="B49" s="729"/>
      <c r="C49" s="730" t="s">
        <v>1186</v>
      </c>
      <c r="D49" s="731"/>
      <c r="E49" s="732"/>
      <c r="F49" s="733"/>
      <c r="G49" s="733"/>
    </row>
    <row r="50" spans="1:7" ht="26">
      <c r="A50" s="223" t="s">
        <v>1417</v>
      </c>
      <c r="B50" s="571"/>
      <c r="C50" s="573" t="s">
        <v>1187</v>
      </c>
      <c r="D50" s="570" t="s">
        <v>4</v>
      </c>
      <c r="E50" s="572">
        <v>81</v>
      </c>
      <c r="G50" s="568">
        <f t="shared" ref="G50:G56" si="1">E50*F50</f>
        <v>0</v>
      </c>
    </row>
    <row r="51" spans="1:7" ht="26">
      <c r="A51" s="223" t="s">
        <v>1418</v>
      </c>
      <c r="B51" s="571"/>
      <c r="C51" s="573" t="s">
        <v>1188</v>
      </c>
      <c r="D51" s="570" t="s">
        <v>15</v>
      </c>
      <c r="E51" s="572">
        <v>15</v>
      </c>
      <c r="G51" s="568">
        <f t="shared" si="1"/>
        <v>0</v>
      </c>
    </row>
    <row r="52" spans="1:7" ht="26">
      <c r="A52" s="223" t="s">
        <v>1419</v>
      </c>
      <c r="B52" s="571"/>
      <c r="C52" s="573" t="s">
        <v>1189</v>
      </c>
      <c r="D52" s="570" t="s">
        <v>15</v>
      </c>
      <c r="E52" s="572">
        <v>4</v>
      </c>
      <c r="G52" s="568">
        <f t="shared" si="1"/>
        <v>0</v>
      </c>
    </row>
    <row r="53" spans="1:7" ht="26">
      <c r="A53" s="223" t="s">
        <v>1420</v>
      </c>
      <c r="B53" s="571"/>
      <c r="C53" s="573" t="s">
        <v>1190</v>
      </c>
      <c r="D53" s="570" t="s">
        <v>15</v>
      </c>
      <c r="E53" s="572">
        <v>2</v>
      </c>
      <c r="G53" s="568">
        <f t="shared" si="1"/>
        <v>0</v>
      </c>
    </row>
    <row r="54" spans="1:7" ht="26">
      <c r="A54" s="223" t="s">
        <v>1421</v>
      </c>
      <c r="B54" s="571"/>
      <c r="C54" s="573" t="s">
        <v>1191</v>
      </c>
      <c r="D54" s="570" t="s">
        <v>15</v>
      </c>
      <c r="E54" s="572">
        <v>6</v>
      </c>
      <c r="G54" s="568">
        <f t="shared" si="1"/>
        <v>0</v>
      </c>
    </row>
    <row r="55" spans="1:7" ht="26">
      <c r="A55" s="223" t="s">
        <v>1422</v>
      </c>
      <c r="B55" s="571"/>
      <c r="C55" s="573" t="s">
        <v>1192</v>
      </c>
      <c r="D55" s="570" t="s">
        <v>4</v>
      </c>
      <c r="E55" s="572">
        <v>87</v>
      </c>
      <c r="G55" s="568">
        <f t="shared" si="1"/>
        <v>0</v>
      </c>
    </row>
    <row r="56" spans="1:7" ht="65">
      <c r="A56" s="223" t="s">
        <v>1423</v>
      </c>
      <c r="B56" s="571"/>
      <c r="C56" s="573" t="s">
        <v>1193</v>
      </c>
      <c r="D56" s="570" t="s">
        <v>1166</v>
      </c>
      <c r="E56" s="572">
        <v>1</v>
      </c>
      <c r="G56" s="568">
        <f t="shared" si="1"/>
        <v>0</v>
      </c>
    </row>
    <row r="57" spans="1:7" ht="13">
      <c r="A57" s="223" t="s">
        <v>1424</v>
      </c>
      <c r="B57" s="729"/>
      <c r="C57" s="730" t="s">
        <v>1194</v>
      </c>
      <c r="D57" s="731"/>
      <c r="E57" s="735"/>
      <c r="F57" s="733"/>
      <c r="G57" s="733"/>
    </row>
    <row r="58" spans="1:7" ht="26">
      <c r="A58" s="223" t="s">
        <v>1425</v>
      </c>
      <c r="B58" s="571"/>
      <c r="C58" s="573" t="s">
        <v>1195</v>
      </c>
      <c r="D58" s="570" t="s">
        <v>1166</v>
      </c>
      <c r="E58" s="572">
        <v>1</v>
      </c>
      <c r="G58" s="568">
        <f t="shared" ref="G58:G67" si="2">E58*F58</f>
        <v>0</v>
      </c>
    </row>
    <row r="59" spans="1:7" ht="26">
      <c r="A59" s="223" t="s">
        <v>1426</v>
      </c>
      <c r="B59" s="571"/>
      <c r="C59" s="573" t="s">
        <v>1196</v>
      </c>
      <c r="D59" s="570" t="s">
        <v>1166</v>
      </c>
      <c r="E59" s="572">
        <v>1</v>
      </c>
      <c r="G59" s="568">
        <f t="shared" si="2"/>
        <v>0</v>
      </c>
    </row>
    <row r="60" spans="1:7" ht="26">
      <c r="A60" s="223" t="s">
        <v>1427</v>
      </c>
      <c r="B60" s="571"/>
      <c r="C60" s="573" t="s">
        <v>1197</v>
      </c>
      <c r="D60" s="570" t="s">
        <v>1166</v>
      </c>
      <c r="E60" s="572">
        <v>1</v>
      </c>
      <c r="G60" s="568">
        <f t="shared" si="2"/>
        <v>0</v>
      </c>
    </row>
    <row r="61" spans="1:7" ht="26">
      <c r="A61" s="223" t="s">
        <v>1428</v>
      </c>
      <c r="B61" s="571"/>
      <c r="C61" s="573" t="s">
        <v>1198</v>
      </c>
      <c r="D61" s="570" t="s">
        <v>1166</v>
      </c>
      <c r="E61" s="572">
        <v>1</v>
      </c>
      <c r="G61" s="568">
        <f t="shared" si="2"/>
        <v>0</v>
      </c>
    </row>
    <row r="62" spans="1:7" ht="13">
      <c r="A62" s="223" t="s">
        <v>1429</v>
      </c>
      <c r="B62" s="571"/>
      <c r="C62" s="573" t="s">
        <v>1199</v>
      </c>
      <c r="D62" s="570" t="s">
        <v>1166</v>
      </c>
      <c r="E62" s="572">
        <v>1</v>
      </c>
      <c r="G62" s="568">
        <f t="shared" si="2"/>
        <v>0</v>
      </c>
    </row>
    <row r="63" spans="1:7" ht="13">
      <c r="A63" s="223" t="s">
        <v>1430</v>
      </c>
      <c r="B63" s="571"/>
      <c r="C63" s="573" t="s">
        <v>1200</v>
      </c>
      <c r="D63" s="570" t="s">
        <v>1166</v>
      </c>
      <c r="E63" s="572">
        <v>1</v>
      </c>
      <c r="G63" s="568">
        <f t="shared" si="2"/>
        <v>0</v>
      </c>
    </row>
    <row r="64" spans="1:7" ht="13">
      <c r="A64" s="223" t="s">
        <v>1431</v>
      </c>
      <c r="B64" s="571"/>
      <c r="C64" s="573" t="s">
        <v>1201</v>
      </c>
      <c r="D64" s="570" t="s">
        <v>1166</v>
      </c>
      <c r="E64" s="572">
        <v>1</v>
      </c>
      <c r="G64" s="568">
        <f t="shared" si="2"/>
        <v>0</v>
      </c>
    </row>
    <row r="65" spans="1:7" ht="26">
      <c r="A65" s="223" t="s">
        <v>1432</v>
      </c>
      <c r="B65" s="571"/>
      <c r="C65" s="573" t="s">
        <v>1202</v>
      </c>
      <c r="D65" s="570" t="s">
        <v>1166</v>
      </c>
      <c r="E65" s="572">
        <v>1</v>
      </c>
      <c r="G65" s="568">
        <f t="shared" si="2"/>
        <v>0</v>
      </c>
    </row>
    <row r="66" spans="1:7" ht="26">
      <c r="A66" s="223" t="s">
        <v>1433</v>
      </c>
      <c r="B66" s="571"/>
      <c r="C66" s="573" t="s">
        <v>1203</v>
      </c>
      <c r="D66" s="570" t="s">
        <v>1166</v>
      </c>
      <c r="E66" s="572">
        <v>1</v>
      </c>
      <c r="G66" s="568">
        <f t="shared" si="2"/>
        <v>0</v>
      </c>
    </row>
    <row r="67" spans="1:7" ht="13">
      <c r="A67" s="223" t="s">
        <v>1434</v>
      </c>
      <c r="B67" s="571"/>
      <c r="C67" s="573" t="s">
        <v>1204</v>
      </c>
      <c r="D67" s="570" t="s">
        <v>1166</v>
      </c>
      <c r="E67" s="572">
        <v>1</v>
      </c>
      <c r="G67" s="568">
        <f t="shared" si="2"/>
        <v>0</v>
      </c>
    </row>
    <row r="68" spans="1:7" ht="13">
      <c r="A68" s="223" t="s">
        <v>1435</v>
      </c>
      <c r="B68" s="571"/>
      <c r="C68" s="269" t="s">
        <v>30</v>
      </c>
      <c r="D68" s="509" t="s">
        <v>1</v>
      </c>
      <c r="E68" s="542">
        <v>8</v>
      </c>
      <c r="F68" s="721"/>
      <c r="G68" s="721">
        <f>E68*F68</f>
        <v>0</v>
      </c>
    </row>
    <row r="69" spans="1:7" ht="13">
      <c r="A69" s="223" t="s">
        <v>1436</v>
      </c>
      <c r="B69" s="571"/>
      <c r="C69" s="269" t="s">
        <v>31</v>
      </c>
      <c r="D69" s="509" t="s">
        <v>7</v>
      </c>
      <c r="E69" s="542">
        <v>1</v>
      </c>
      <c r="F69" s="721"/>
      <c r="G69" s="721">
        <f>E69*F69</f>
        <v>0</v>
      </c>
    </row>
    <row r="70" spans="1:7" ht="13">
      <c r="A70" s="223" t="s">
        <v>1437</v>
      </c>
      <c r="B70" s="571"/>
      <c r="C70" s="213" t="s">
        <v>32</v>
      </c>
      <c r="D70" s="138" t="s">
        <v>7</v>
      </c>
      <c r="E70" s="404">
        <v>1</v>
      </c>
      <c r="F70" s="548"/>
      <c r="G70" s="548">
        <f>E70*F70</f>
        <v>0</v>
      </c>
    </row>
  </sheetData>
  <phoneticPr fontId="130" type="noConversion"/>
  <printOptions gridLines="1"/>
  <pageMargins left="0.31496062992125984" right="0.31496062992125984" top="0.59055118110236227" bottom="0.59055118110236227" header="0.31496062992125984" footer="0.31496062992125984"/>
  <pageSetup scale="82" fitToHeight="100" orientation="portrait" r:id="rId1"/>
  <headerFooter>
    <oddFooter>&amp;C&amp;P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76"/>
  <sheetViews>
    <sheetView workbookViewId="0"/>
  </sheetViews>
  <sheetFormatPr baseColWidth="10" defaultColWidth="9.1640625" defaultRowHeight="13"/>
  <cols>
    <col min="1" max="1" width="129.83203125" style="527" customWidth="1"/>
    <col min="2" max="2" width="9.1640625" style="527"/>
    <col min="3" max="3" width="56.33203125" style="527" customWidth="1"/>
    <col min="4" max="16384" width="9.1640625" style="527"/>
  </cols>
  <sheetData>
    <row r="1" spans="1:5" ht="14">
      <c r="A1" s="526" t="s">
        <v>2547</v>
      </c>
    </row>
    <row r="2" spans="1:5" ht="14">
      <c r="A2" s="528" t="s">
        <v>2548</v>
      </c>
      <c r="B2" s="526"/>
      <c r="C2" s="526"/>
      <c r="D2" s="526"/>
      <c r="E2" s="526"/>
    </row>
    <row r="3" spans="1:5">
      <c r="A3" s="526"/>
      <c r="B3" s="526"/>
      <c r="C3" s="526"/>
      <c r="D3" s="526"/>
      <c r="E3" s="526"/>
    </row>
    <row r="4" spans="1:5" ht="14">
      <c r="A4" s="529" t="s">
        <v>2549</v>
      </c>
      <c r="B4" s="529"/>
      <c r="C4" s="529"/>
      <c r="D4" s="526"/>
      <c r="E4" s="526"/>
    </row>
    <row r="5" spans="1:5">
      <c r="A5" s="529"/>
      <c r="B5" s="529"/>
      <c r="C5" s="529"/>
      <c r="D5" s="526"/>
      <c r="E5" s="526"/>
    </row>
    <row r="6" spans="1:5" ht="14">
      <c r="A6" s="529" t="s">
        <v>2550</v>
      </c>
      <c r="B6" s="529"/>
      <c r="C6" s="529"/>
      <c r="D6" s="526"/>
      <c r="E6" s="526"/>
    </row>
    <row r="7" spans="1:5">
      <c r="A7" s="529"/>
      <c r="B7" s="529"/>
      <c r="C7" s="529"/>
      <c r="D7" s="526"/>
      <c r="E7" s="526"/>
    </row>
    <row r="8" spans="1:5" ht="28">
      <c r="A8" s="529" t="s">
        <v>2551</v>
      </c>
      <c r="B8" s="529"/>
      <c r="C8" s="529"/>
      <c r="D8" s="526"/>
      <c r="E8" s="526"/>
    </row>
    <row r="9" spans="1:5">
      <c r="A9" s="529"/>
      <c r="B9" s="529"/>
      <c r="C9" s="529"/>
      <c r="D9" s="526"/>
      <c r="E9" s="526"/>
    </row>
    <row r="10" spans="1:5" ht="14">
      <c r="A10" s="529" t="s">
        <v>2552</v>
      </c>
      <c r="B10" s="529"/>
      <c r="C10" s="529"/>
      <c r="D10" s="526"/>
      <c r="E10" s="526"/>
    </row>
    <row r="11" spans="1:5">
      <c r="A11" s="530"/>
      <c r="B11" s="529"/>
      <c r="C11" s="529"/>
      <c r="D11" s="526"/>
      <c r="E11" s="526"/>
    </row>
    <row r="12" spans="1:5" ht="42">
      <c r="A12" s="529" t="s">
        <v>2553</v>
      </c>
      <c r="B12" s="529"/>
      <c r="C12" s="529"/>
      <c r="D12" s="526"/>
      <c r="E12" s="526"/>
    </row>
    <row r="13" spans="1:5">
      <c r="A13" s="529"/>
      <c r="B13" s="529"/>
      <c r="C13" s="529"/>
      <c r="D13" s="526"/>
      <c r="E13" s="526"/>
    </row>
    <row r="14" spans="1:5" ht="28">
      <c r="A14" s="529" t="s">
        <v>2554</v>
      </c>
      <c r="B14" s="529"/>
      <c r="C14" s="529"/>
      <c r="D14" s="526"/>
      <c r="E14" s="526"/>
    </row>
    <row r="15" spans="1:5">
      <c r="A15" s="529"/>
      <c r="B15" s="529"/>
      <c r="C15" s="529"/>
      <c r="D15" s="526"/>
      <c r="E15" s="526"/>
    </row>
    <row r="16" spans="1:5" ht="28">
      <c r="A16" s="529" t="s">
        <v>2555</v>
      </c>
      <c r="B16" s="529"/>
      <c r="C16" s="529"/>
      <c r="D16" s="526"/>
      <c r="E16" s="526"/>
    </row>
    <row r="17" spans="1:5">
      <c r="A17" s="529"/>
      <c r="B17" s="529"/>
      <c r="C17" s="529"/>
      <c r="D17" s="526"/>
      <c r="E17" s="526"/>
    </row>
    <row r="18" spans="1:5" ht="14">
      <c r="A18" s="529" t="s">
        <v>2556</v>
      </c>
      <c r="B18" s="529"/>
      <c r="C18" s="529"/>
      <c r="D18" s="526"/>
      <c r="E18" s="526"/>
    </row>
    <row r="19" spans="1:5">
      <c r="A19" s="529"/>
      <c r="B19" s="529"/>
      <c r="C19" s="529"/>
      <c r="D19" s="526"/>
      <c r="E19" s="526"/>
    </row>
    <row r="20" spans="1:5" ht="14">
      <c r="A20" s="529" t="s">
        <v>2557</v>
      </c>
      <c r="B20" s="529"/>
      <c r="C20" s="529"/>
      <c r="D20" s="526"/>
      <c r="E20" s="526"/>
    </row>
    <row r="21" spans="1:5">
      <c r="A21" s="529"/>
      <c r="B21" s="529"/>
      <c r="C21" s="529"/>
      <c r="D21" s="526"/>
      <c r="E21" s="526"/>
    </row>
    <row r="22" spans="1:5" ht="28">
      <c r="A22" s="529" t="s">
        <v>2558</v>
      </c>
      <c r="B22" s="529"/>
      <c r="C22" s="529"/>
      <c r="D22" s="526"/>
      <c r="E22" s="526"/>
    </row>
    <row r="23" spans="1:5">
      <c r="A23" s="529"/>
      <c r="B23" s="529"/>
      <c r="C23" s="529"/>
      <c r="D23" s="526"/>
      <c r="E23" s="526"/>
    </row>
    <row r="24" spans="1:5" ht="14">
      <c r="A24" s="529" t="s">
        <v>2559</v>
      </c>
      <c r="B24" s="529"/>
      <c r="C24" s="529"/>
      <c r="D24" s="526"/>
      <c r="E24" s="526"/>
    </row>
    <row r="25" spans="1:5">
      <c r="A25" s="529"/>
      <c r="B25" s="529"/>
      <c r="C25" s="529"/>
      <c r="D25" s="526"/>
      <c r="E25" s="526"/>
    </row>
    <row r="26" spans="1:5" ht="14">
      <c r="A26" s="529" t="s">
        <v>2560</v>
      </c>
      <c r="B26" s="529"/>
      <c r="C26" s="529"/>
      <c r="D26" s="526"/>
      <c r="E26" s="526"/>
    </row>
    <row r="27" spans="1:5">
      <c r="A27" s="529"/>
      <c r="B27" s="529"/>
      <c r="C27" s="529"/>
      <c r="D27" s="526"/>
      <c r="E27" s="526"/>
    </row>
    <row r="28" spans="1:5" ht="14">
      <c r="A28" s="529" t="s">
        <v>2561</v>
      </c>
      <c r="B28" s="529"/>
      <c r="C28" s="529"/>
      <c r="D28" s="526"/>
      <c r="E28" s="526"/>
    </row>
    <row r="29" spans="1:5">
      <c r="A29" s="529"/>
      <c r="B29" s="529"/>
      <c r="C29" s="529"/>
      <c r="D29" s="526"/>
      <c r="E29" s="526"/>
    </row>
    <row r="30" spans="1:5" ht="14">
      <c r="A30" s="529" t="s">
        <v>2562</v>
      </c>
      <c r="B30" s="529"/>
      <c r="C30" s="529"/>
      <c r="D30" s="526"/>
      <c r="E30" s="526"/>
    </row>
    <row r="31" spans="1:5">
      <c r="A31" s="529"/>
      <c r="B31" s="529"/>
      <c r="C31" s="529"/>
      <c r="D31" s="526"/>
      <c r="E31" s="526"/>
    </row>
    <row r="32" spans="1:5" ht="14">
      <c r="A32" s="529" t="s">
        <v>2563</v>
      </c>
      <c r="B32" s="529"/>
      <c r="C32" s="529"/>
      <c r="D32" s="526"/>
      <c r="E32" s="526"/>
    </row>
    <row r="33" spans="1:5">
      <c r="A33" s="529"/>
      <c r="B33" s="529"/>
      <c r="C33" s="529"/>
      <c r="D33" s="526"/>
      <c r="E33" s="526"/>
    </row>
    <row r="34" spans="1:5" ht="14">
      <c r="A34" s="529" t="s">
        <v>2564</v>
      </c>
      <c r="B34" s="529"/>
      <c r="C34" s="529"/>
      <c r="D34" s="526"/>
      <c r="E34" s="526"/>
    </row>
    <row r="35" spans="1:5">
      <c r="A35" s="529"/>
      <c r="B35" s="529"/>
      <c r="C35" s="529"/>
      <c r="D35" s="526"/>
      <c r="E35" s="526"/>
    </row>
    <row r="36" spans="1:5" ht="28">
      <c r="A36" s="529" t="s">
        <v>2565</v>
      </c>
      <c r="B36" s="529"/>
      <c r="C36" s="529"/>
      <c r="D36" s="526"/>
      <c r="E36" s="526"/>
    </row>
    <row r="37" spans="1:5">
      <c r="A37" s="529"/>
      <c r="B37" s="529"/>
      <c r="C37" s="529"/>
      <c r="D37" s="526"/>
      <c r="E37" s="526"/>
    </row>
    <row r="38" spans="1:5" ht="98">
      <c r="A38" s="531" t="s">
        <v>2566</v>
      </c>
      <c r="B38" s="529"/>
      <c r="C38" s="529"/>
      <c r="D38" s="526"/>
      <c r="E38" s="526"/>
    </row>
    <row r="39" spans="1:5">
      <c r="A39" s="531"/>
      <c r="B39" s="529"/>
      <c r="C39" s="529"/>
      <c r="D39" s="526"/>
      <c r="E39" s="526"/>
    </row>
    <row r="40" spans="1:5" ht="70">
      <c r="A40" s="532" t="s">
        <v>2567</v>
      </c>
      <c r="B40" s="529"/>
      <c r="C40" s="529"/>
      <c r="D40" s="526"/>
      <c r="E40" s="526"/>
    </row>
    <row r="41" spans="1:5" s="529" customFormat="1"/>
    <row r="42" spans="1:5" ht="48">
      <c r="A42" s="531" t="s">
        <v>2568</v>
      </c>
      <c r="B42" s="529"/>
      <c r="C42" s="529"/>
      <c r="D42" s="526"/>
      <c r="E42" s="526"/>
    </row>
    <row r="43" spans="1:5">
      <c r="A43" s="531"/>
      <c r="B43" s="529"/>
      <c r="C43" s="529"/>
      <c r="D43" s="526"/>
      <c r="E43" s="526"/>
    </row>
    <row r="44" spans="1:5" ht="64">
      <c r="A44" s="531" t="s">
        <v>2569</v>
      </c>
      <c r="B44" s="529"/>
      <c r="C44" s="529"/>
      <c r="D44" s="526"/>
      <c r="E44" s="526"/>
    </row>
    <row r="45" spans="1:5">
      <c r="A45" s="531"/>
      <c r="B45" s="529"/>
      <c r="C45" s="529"/>
      <c r="D45" s="526"/>
      <c r="E45" s="526"/>
    </row>
    <row r="46" spans="1:5" ht="16">
      <c r="A46" s="533" t="s">
        <v>2570</v>
      </c>
    </row>
    <row r="47" spans="1:5" ht="64">
      <c r="A47" s="533" t="s">
        <v>2571</v>
      </c>
    </row>
    <row r="48" spans="1:5">
      <c r="A48" s="533"/>
    </row>
    <row r="49" spans="1:1" ht="44">
      <c r="A49" s="533" t="s">
        <v>2572</v>
      </c>
    </row>
    <row r="50" spans="1:1">
      <c r="A50" s="533"/>
    </row>
    <row r="51" spans="1:1" ht="28">
      <c r="A51" s="533" t="s">
        <v>2573</v>
      </c>
    </row>
    <row r="53" spans="1:1" ht="32">
      <c r="A53" s="533" t="s">
        <v>2574</v>
      </c>
    </row>
    <row r="55" spans="1:1" ht="16">
      <c r="A55" s="533" t="s">
        <v>2575</v>
      </c>
    </row>
    <row r="57" spans="1:1">
      <c r="A57" s="477"/>
    </row>
    <row r="69" spans="1:12">
      <c r="A69" s="523"/>
      <c r="B69" s="534"/>
      <c r="C69" s="523"/>
      <c r="D69" s="523"/>
      <c r="E69" s="523"/>
      <c r="F69" s="523"/>
      <c r="G69" s="523"/>
      <c r="H69" s="523"/>
      <c r="I69" s="523"/>
      <c r="J69" s="523"/>
      <c r="K69" s="523"/>
      <c r="L69" s="523"/>
    </row>
    <row r="70" spans="1:12">
      <c r="A70" s="523"/>
      <c r="B70" s="534"/>
      <c r="C70" s="523"/>
      <c r="D70" s="523"/>
      <c r="E70" s="523"/>
      <c r="F70" s="523"/>
      <c r="G70" s="523"/>
      <c r="H70" s="523"/>
      <c r="I70" s="523"/>
      <c r="J70" s="523"/>
      <c r="K70" s="523"/>
      <c r="L70" s="523"/>
    </row>
    <row r="71" spans="1:12">
      <c r="A71" s="523"/>
      <c r="B71" s="534"/>
      <c r="C71" s="523"/>
      <c r="D71" s="523"/>
      <c r="E71" s="523"/>
      <c r="F71" s="523"/>
      <c r="G71" s="523"/>
      <c r="H71" s="523"/>
      <c r="I71" s="523"/>
      <c r="J71" s="523"/>
      <c r="K71" s="523"/>
      <c r="L71" s="523"/>
    </row>
    <row r="72" spans="1:12">
      <c r="A72" s="523"/>
      <c r="B72" s="534"/>
      <c r="C72" s="523"/>
      <c r="D72" s="523"/>
      <c r="E72" s="523"/>
      <c r="F72" s="523"/>
      <c r="G72" s="523"/>
      <c r="H72" s="523"/>
      <c r="I72" s="523"/>
      <c r="J72" s="523"/>
      <c r="K72" s="523"/>
      <c r="L72" s="523"/>
    </row>
    <row r="73" spans="1:12">
      <c r="A73" s="523"/>
      <c r="B73" s="534"/>
      <c r="C73" s="523"/>
      <c r="D73" s="523"/>
      <c r="E73" s="523"/>
      <c r="F73" s="523"/>
      <c r="G73" s="523"/>
      <c r="H73" s="523"/>
      <c r="I73" s="523"/>
      <c r="J73" s="523"/>
      <c r="K73" s="523"/>
      <c r="L73" s="523"/>
    </row>
    <row r="74" spans="1:12">
      <c r="A74" s="523"/>
      <c r="B74" s="534"/>
      <c r="C74" s="523"/>
      <c r="D74" s="523"/>
      <c r="E74" s="523"/>
      <c r="F74" s="523"/>
      <c r="G74" s="523"/>
      <c r="H74" s="523"/>
      <c r="I74" s="523"/>
      <c r="J74" s="523"/>
      <c r="K74" s="523"/>
      <c r="L74" s="523"/>
    </row>
    <row r="75" spans="1:12">
      <c r="A75" s="523"/>
      <c r="B75" s="534"/>
      <c r="C75" s="523"/>
      <c r="D75" s="523"/>
      <c r="E75" s="523"/>
      <c r="F75" s="523"/>
      <c r="G75" s="523"/>
      <c r="H75" s="523"/>
      <c r="I75" s="523"/>
      <c r="J75" s="523"/>
      <c r="K75" s="523"/>
      <c r="L75" s="523"/>
    </row>
    <row r="76" spans="1:12">
      <c r="A76" s="523"/>
      <c r="B76" s="534"/>
      <c r="C76" s="523"/>
      <c r="D76" s="523"/>
      <c r="E76" s="523"/>
      <c r="F76" s="523"/>
      <c r="G76" s="523"/>
      <c r="H76" s="523"/>
      <c r="I76" s="523"/>
      <c r="J76" s="523"/>
      <c r="K76" s="523"/>
      <c r="L76" s="523"/>
    </row>
  </sheetData>
  <pageMargins left="0.31496062992125984" right="0.31496062992125984" top="0.59055118110236227" bottom="0.59055118110236227" header="0.31496062992125984" footer="0.31496062992125984"/>
  <pageSetup paperSize="9" scale="74" fitToHeight="100"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Listy</vt:lpstr>
      </vt:variant>
      <vt:variant>
        <vt:i4>9</vt:i4>
      </vt:variant>
      <vt:variant>
        <vt:lpstr>Pojmenované oblasti</vt:lpstr>
      </vt:variant>
      <vt:variant>
        <vt:i4>6</vt:i4>
      </vt:variant>
    </vt:vector>
  </HeadingPairs>
  <TitlesOfParts>
    <vt:vector size="15" baseType="lpstr">
      <vt:lpstr>titulní list</vt:lpstr>
      <vt:lpstr>SSPDsVV</vt:lpstr>
      <vt:lpstr>List3</vt:lpstr>
      <vt:lpstr>Výpisy prvků</vt:lpstr>
      <vt:lpstr>ZTI</vt:lpstr>
      <vt:lpstr>EL-silno</vt:lpstr>
      <vt:lpstr>EL-osvětl</vt:lpstr>
      <vt:lpstr>VZT</vt:lpstr>
      <vt:lpstr>Příloha č. 1</vt:lpstr>
      <vt:lpstr>'EL-osvětl'!Názvy_tisku</vt:lpstr>
      <vt:lpstr>'EL-silno'!Názvy_tisku</vt:lpstr>
      <vt:lpstr>SSPDsVV!Názvy_tisku</vt:lpstr>
      <vt:lpstr>'Výpisy prvků'!Názvy_tisku</vt:lpstr>
      <vt:lpstr>VZT!Názvy_tisku</vt:lpstr>
      <vt:lpstr>ZTI!Názvy_tisku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Tomekarchitekti</dc:creator>
  <cp:lastModifiedBy>Hana Valentová</cp:lastModifiedBy>
  <cp:lastPrinted>2022-12-22T11:27:03Z</cp:lastPrinted>
  <dcterms:created xsi:type="dcterms:W3CDTF">2022-02-18T17:29:08Z</dcterms:created>
  <dcterms:modified xsi:type="dcterms:W3CDTF">2023-05-04T20:12:08Z</dcterms:modified>
</cp:coreProperties>
</file>