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egiozona.sharepoint.com/sites/RZ/Sdilene dokumenty/02/02_VZ/23+/000/X00_IROP_ZŠ_Luhačovice_Stavba/01_ZD/"/>
    </mc:Choice>
  </mc:AlternateContent>
  <xr:revisionPtr revIDLastSave="147" documentId="13_ncr:1_{D628F304-A2C2-4513-8227-A0B072B88FED}" xr6:coauthVersionLast="47" xr6:coauthVersionMax="47" xr10:uidLastSave="{563EDA0B-8EC1-4400-90C7-CB21C5DAD928}"/>
  <workbookProtection workbookAlgorithmName="SHA-512" workbookHashValue="qGfFU2IrLw0NuKnwqhWAGe5CwlGsoy6+ceG1JWs1uhj5qcw5xuRQZUDJcCVSDErDLN5KQFO2rXmxeDO+vgQThA==" workbookSaltValue="cnEdADH4AdHcirGPNdJwNw==" workbookSpinCount="100000" lockStructure="1"/>
  <bookViews>
    <workbookView xWindow="-108" yWindow="-108" windowWidth="23256" windowHeight="12456" firstSheet="1" activeTab="3" xr2:uid="{9B110B61-5544-4B16-BFF5-E62BDBD14AC3}"/>
  </bookViews>
  <sheets>
    <sheet name="pokyny k vyplnění" sheetId="4" r:id="rId1"/>
    <sheet name="Krycí list" sheetId="6" r:id="rId2"/>
    <sheet name="Rekapitulace" sheetId="2" r:id="rId3"/>
    <sheet name="Položky" sheetId="1" r:id="rId4"/>
  </sheets>
  <externalReferences>
    <externalReference r:id="rId5"/>
    <externalReference r:id="rId6"/>
    <externalReference r:id="rId7"/>
  </externalReferences>
  <definedNames>
    <definedName name="aa">'Krycí list'!$E$25</definedName>
    <definedName name="CenaCelkem">#REF!</definedName>
    <definedName name="CenaCelkemBezDPH">#REF!</definedName>
    <definedName name="cisloobjektu">#REF!</definedName>
    <definedName name="CisloRozpoctu">'[1]Krycí list'!$C$2</definedName>
    <definedName name="cislostavby">#REF!</definedName>
    <definedName name="CisloStavebnihoRozpoctu">#REF!</definedName>
    <definedName name="dadresa">#REF!</definedName>
    <definedName name="Datum">#REF!</definedName>
    <definedName name="dmisto">#REF!</definedName>
    <definedName name="Dodavka">[2]Rekapitulace!$G$28</definedName>
    <definedName name="Dodavka0">[2]Položky!#REF!</definedName>
    <definedName name="DPHSni">#REF!</definedName>
    <definedName name="DPHZakl">#REF!</definedName>
    <definedName name="HSV">[2]Rekapitulace!$E$28</definedName>
    <definedName name="HSV0">[2]Položky!#REF!</definedName>
    <definedName name="HZS">[2]Rekapitulace!$I$28</definedName>
    <definedName name="HZS0">[2]Položky!#REF!</definedName>
    <definedName name="JKSO">#REF!</definedName>
    <definedName name="Mena">#REF!</definedName>
    <definedName name="MistoStavby">#REF!</definedName>
    <definedName name="MJ">#REF!</definedName>
    <definedName name="Mont">[2]Rekapitulace!$H$28</definedName>
    <definedName name="Montaz0">[2]Položky!#REF!</definedName>
    <definedName name="nazevobjektu">#REF!</definedName>
    <definedName name="NazevRozpoctu">'[1]Krycí list'!$D$2</definedName>
    <definedName name="nazevstavby">#REF!</definedName>
    <definedName name="NazevStavebnihoRozpoctu">#REF!</definedName>
    <definedName name="oadresa">#REF!</definedName>
    <definedName name="Objednatel">#REF!</definedName>
    <definedName name="padresa">#REF!</definedName>
    <definedName name="pdic">#REF!</definedName>
    <definedName name="pico">#REF!</definedName>
    <definedName name="pmisto">#REF!</definedName>
    <definedName name="PocetMJ">#REF!</definedName>
    <definedName name="PoptavkaID">#REF!</definedName>
    <definedName name="Poznamka">#REF!</definedName>
    <definedName name="pPSC">#REF!</definedName>
    <definedName name="Projektant">#REF!</definedName>
    <definedName name="PSV">[2]Rekapitulace!$F$28</definedName>
    <definedName name="PSV0">[2]Položky!#REF!</definedName>
    <definedName name="SazbaDPH1">'[3]Krycí list'!$C$18</definedName>
    <definedName name="SazbaDPH2">'[3]Krycí list'!$C$20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Typ">[2]Položky!#REF!</definedName>
    <definedName name="VRN">[2]Rekapitulace!$H$36</definedName>
    <definedName name="VRNKc">[2]Rekapitulace!#REF!</definedName>
    <definedName name="VRNnazev">[2]Rekapitulace!#REF!</definedName>
    <definedName name="VRNproc">[2]Rekapitulace!#REF!</definedName>
    <definedName name="VRNzakl">[2]Rekapitulace!#REF!</definedName>
    <definedName name="Vypracoval">#REF!</definedName>
    <definedName name="Zakazka">#REF!</definedName>
    <definedName name="Zaklad22">#REF!</definedName>
    <definedName name="Zaklad5">#REF!</definedName>
    <definedName name="ZakladDPHSni">#REF!</definedName>
    <definedName name="ZakladDPHSniVypocet" localSheetId="1">'Krycí list'!$F$44</definedName>
    <definedName name="ZakladDPHZakl">#REF!</definedName>
    <definedName name="ZakladDPHZaklVypocet" localSheetId="1">'Krycí list'!$G$44</definedName>
    <definedName name="ZaObjednatele">#REF!</definedName>
    <definedName name="Zaokrouhleni">#REF!</definedName>
    <definedName name="ZaZhotovitele">#REF!</definedName>
    <definedName name="Zhotovite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1" i="1" l="1"/>
  <c r="M39" i="1"/>
  <c r="M38" i="1"/>
  <c r="M36" i="1"/>
  <c r="M34" i="1"/>
  <c r="M31" i="1"/>
  <c r="M27" i="1"/>
  <c r="M23" i="1"/>
  <c r="M19" i="1"/>
  <c r="M15" i="1"/>
  <c r="M49" i="1"/>
  <c r="M44" i="1"/>
  <c r="M52" i="1" l="1"/>
  <c r="M55" i="1"/>
  <c r="M72" i="1"/>
  <c r="M91" i="1"/>
  <c r="M93" i="1"/>
  <c r="M95" i="1"/>
  <c r="M116" i="1"/>
  <c r="M137" i="1"/>
  <c r="M156" i="1"/>
  <c r="M175" i="1"/>
  <c r="M193" i="1"/>
  <c r="M214" i="1"/>
  <c r="M219" i="1"/>
  <c r="M239" i="1"/>
  <c r="M258" i="1"/>
  <c r="M277" i="1"/>
  <c r="M281" i="1"/>
  <c r="M284" i="1"/>
  <c r="M287" i="1"/>
  <c r="M305" i="1"/>
  <c r="M309" i="1"/>
  <c r="M313" i="1"/>
  <c r="M316" i="1"/>
  <c r="M319" i="1"/>
  <c r="M322" i="1"/>
  <c r="M329" i="1"/>
  <c r="M331" i="1"/>
  <c r="M336" i="1"/>
  <c r="M338" i="1"/>
  <c r="M340" i="1"/>
  <c r="M342" i="1"/>
  <c r="M344" i="1"/>
  <c r="M346" i="1"/>
  <c r="M348" i="1"/>
  <c r="M350" i="1"/>
  <c r="M354" i="1"/>
  <c r="M356" i="1"/>
  <c r="M360" i="1"/>
  <c r="M362" i="1"/>
  <c r="M364" i="1"/>
  <c r="M366" i="1"/>
  <c r="M368" i="1"/>
  <c r="M370" i="1"/>
  <c r="M372" i="1"/>
  <c r="M374" i="1"/>
  <c r="M375" i="1"/>
  <c r="M377" i="1"/>
  <c r="M379" i="1"/>
  <c r="M385" i="1"/>
  <c r="M388" i="1"/>
  <c r="M394" i="1"/>
  <c r="M397" i="1"/>
  <c r="M403" i="1"/>
  <c r="M407" i="1"/>
  <c r="M411" i="1"/>
  <c r="M416" i="1"/>
  <c r="M420" i="1"/>
  <c r="M423" i="1"/>
  <c r="M426" i="1"/>
  <c r="M428" i="1"/>
  <c r="M429" i="1"/>
  <c r="M430" i="1"/>
  <c r="M432" i="1"/>
  <c r="M438" i="1"/>
  <c r="M441" i="1"/>
  <c r="M444" i="1"/>
  <c r="M448" i="1"/>
  <c r="M450" i="1"/>
  <c r="M466" i="1"/>
  <c r="M482" i="1"/>
  <c r="M499" i="1"/>
  <c r="M502" i="1"/>
  <c r="M520" i="1"/>
  <c r="M522" i="1"/>
  <c r="M528" i="1"/>
  <c r="M534" i="1"/>
  <c r="M537" i="1"/>
  <c r="M539" i="1"/>
  <c r="M560" i="1"/>
  <c r="M582" i="1"/>
  <c r="M586" i="1"/>
  <c r="M588" i="1"/>
  <c r="M590" i="1"/>
  <c r="M594" i="1"/>
  <c r="M596" i="1"/>
  <c r="M646" i="1"/>
  <c r="M655" i="1"/>
  <c r="M663" i="1"/>
  <c r="M672" i="1"/>
  <c r="M681" i="1"/>
  <c r="M690" i="1"/>
  <c r="M700" i="1"/>
  <c r="M706" i="1"/>
  <c r="M708" i="1"/>
  <c r="M710" i="1"/>
  <c r="M712" i="1"/>
  <c r="M714" i="1"/>
  <c r="M716" i="1"/>
  <c r="M718" i="1"/>
  <c r="M720" i="1"/>
  <c r="M722" i="1"/>
  <c r="M724" i="1"/>
  <c r="M726" i="1"/>
  <c r="M728" i="1"/>
  <c r="M730" i="1"/>
  <c r="M735" i="1"/>
  <c r="M739" i="1"/>
  <c r="M741" i="1"/>
  <c r="M745" i="1"/>
  <c r="M749" i="1"/>
  <c r="M753" i="1"/>
  <c r="M757" i="1"/>
  <c r="M759" i="1"/>
  <c r="M763" i="1"/>
  <c r="M767" i="1"/>
  <c r="M771" i="1"/>
  <c r="M774" i="1"/>
  <c r="M779" i="1"/>
  <c r="M781" i="1"/>
  <c r="M787" i="1"/>
  <c r="M793" i="1"/>
  <c r="M796" i="1"/>
  <c r="M798" i="1"/>
  <c r="M806" i="1"/>
  <c r="M814" i="1"/>
  <c r="M816" i="1"/>
  <c r="M819" i="1"/>
  <c r="M824" i="1"/>
  <c r="M826" i="1"/>
  <c r="M637" i="1"/>
  <c r="M628" i="1"/>
  <c r="M619" i="1"/>
  <c r="M617" i="1"/>
  <c r="M615" i="1"/>
  <c r="M607" i="1"/>
  <c r="M599" i="1"/>
  <c r="G824" i="1" l="1"/>
  <c r="H824" i="1" s="1"/>
  <c r="G822" i="1"/>
  <c r="G592" i="1"/>
  <c r="E806" i="1" l="1"/>
  <c r="E798" i="1"/>
  <c r="E690" i="1"/>
  <c r="E681" i="1"/>
  <c r="E672" i="1"/>
  <c r="E663" i="1"/>
  <c r="E655" i="1"/>
  <c r="E646" i="1"/>
  <c r="E637" i="1"/>
  <c r="E628" i="1"/>
  <c r="E619" i="1"/>
  <c r="E607" i="1"/>
  <c r="E599" i="1"/>
  <c r="E287" i="1"/>
  <c r="E214" i="1"/>
  <c r="K806" i="1"/>
  <c r="K798" i="1"/>
  <c r="K781" i="1"/>
  <c r="K759" i="1"/>
  <c r="K724" i="1"/>
  <c r="K700" i="1"/>
  <c r="K690" i="1"/>
  <c r="K619" i="1"/>
  <c r="K628" i="1"/>
  <c r="K637" i="1"/>
  <c r="K655" i="1"/>
  <c r="K599" i="1"/>
  <c r="K582" i="1"/>
  <c r="K560" i="1"/>
  <c r="K539" i="1"/>
  <c r="K522" i="1"/>
  <c r="K450" i="1"/>
  <c r="K375" i="1"/>
  <c r="K366" i="1"/>
  <c r="K360" i="1"/>
  <c r="K364" i="1"/>
  <c r="K362" i="1"/>
  <c r="K338" i="1"/>
  <c r="K316" i="1"/>
  <c r="K309" i="1"/>
  <c r="K287" i="1"/>
  <c r="K284" i="1"/>
  <c r="K281" i="1"/>
  <c r="K277" i="1"/>
  <c r="K258" i="1"/>
  <c r="K239" i="1"/>
  <c r="K175" i="1"/>
  <c r="K137" i="1"/>
  <c r="K116" i="1"/>
  <c r="K95" i="1"/>
  <c r="K93" i="1"/>
  <c r="K55" i="1"/>
  <c r="B19" i="1"/>
  <c r="B23" i="1" s="1"/>
  <c r="B27" i="1" s="1"/>
  <c r="B31" i="1" s="1"/>
  <c r="B34" i="1" s="1"/>
  <c r="K52" i="1"/>
  <c r="K49" i="1"/>
  <c r="K36" i="1"/>
  <c r="K34" i="1"/>
  <c r="K31" i="1"/>
  <c r="K27" i="1"/>
  <c r="K15" i="1"/>
  <c r="G663" i="1" l="1"/>
  <c r="G655" i="1"/>
  <c r="B36" i="1"/>
  <c r="B38" i="1" s="1"/>
  <c r="B39" i="1" s="1"/>
  <c r="B41" i="1" s="1"/>
  <c r="E585" i="1"/>
  <c r="E584" i="1"/>
  <c r="E582" i="1" s="1"/>
  <c r="G582" i="1" s="1"/>
  <c r="E581" i="1"/>
  <c r="E580" i="1"/>
  <c r="E579" i="1"/>
  <c r="E578" i="1"/>
  <c r="E577" i="1"/>
  <c r="E576" i="1"/>
  <c r="E559" i="1"/>
  <c r="E558" i="1"/>
  <c r="E557" i="1"/>
  <c r="E556" i="1"/>
  <c r="E555" i="1"/>
  <c r="E554" i="1"/>
  <c r="E536" i="1"/>
  <c r="E534" i="1" s="1"/>
  <c r="E533" i="1"/>
  <c r="E532" i="1"/>
  <c r="E527" i="1"/>
  <c r="E526" i="1"/>
  <c r="E518" i="1"/>
  <c r="E502" i="1" s="1"/>
  <c r="E501" i="1"/>
  <c r="E497" i="1"/>
  <c r="E482" i="1" s="1"/>
  <c r="E480" i="1"/>
  <c r="E466" i="1" s="1"/>
  <c r="E464" i="1"/>
  <c r="E450" i="1" s="1"/>
  <c r="E441" i="1"/>
  <c r="E440" i="1"/>
  <c r="E438" i="1" s="1"/>
  <c r="E447" i="1"/>
  <c r="E446" i="1"/>
  <c r="E437" i="1"/>
  <c r="E436" i="1"/>
  <c r="B37" i="2"/>
  <c r="A37" i="2"/>
  <c r="G430" i="1"/>
  <c r="G429" i="1"/>
  <c r="G428" i="1"/>
  <c r="G427" i="1" l="1"/>
  <c r="E432" i="1"/>
  <c r="E528" i="1"/>
  <c r="B44" i="1"/>
  <c r="B49" i="1" s="1"/>
  <c r="E444" i="1"/>
  <c r="G444" i="1" s="1"/>
  <c r="C37" i="2"/>
  <c r="E411" i="1"/>
  <c r="E416" i="1"/>
  <c r="G416" i="1" s="1"/>
  <c r="E397" i="1"/>
  <c r="E388" i="1"/>
  <c r="E379" i="1"/>
  <c r="G374" i="1"/>
  <c r="G362" i="1"/>
  <c r="G360" i="1"/>
  <c r="E356" i="1"/>
  <c r="G356" i="1" s="1"/>
  <c r="E350" i="1"/>
  <c r="E327" i="1"/>
  <c r="E326" i="1"/>
  <c r="E274" i="1"/>
  <c r="E258" i="1" s="1"/>
  <c r="E257" i="1"/>
  <c r="E256" i="1"/>
  <c r="E239" i="1" s="1"/>
  <c r="E238" i="1"/>
  <c r="E237" i="1"/>
  <c r="E210" i="1"/>
  <c r="E209" i="1"/>
  <c r="E192" i="1"/>
  <c r="E191" i="1"/>
  <c r="E174" i="1"/>
  <c r="E173" i="1"/>
  <c r="E155" i="1"/>
  <c r="E154" i="1"/>
  <c r="E136" i="1"/>
  <c r="E135" i="1"/>
  <c r="E134" i="1"/>
  <c r="E133" i="1"/>
  <c r="E115" i="1"/>
  <c r="E114" i="1"/>
  <c r="E113" i="1"/>
  <c r="E112" i="1"/>
  <c r="G91" i="1"/>
  <c r="E90" i="1"/>
  <c r="E89" i="1"/>
  <c r="E88" i="1"/>
  <c r="E87" i="1"/>
  <c r="E72" i="1" s="1"/>
  <c r="E71" i="1"/>
  <c r="E70" i="1"/>
  <c r="B52" i="1" l="1"/>
  <c r="B55" i="1" s="1"/>
  <c r="B72" i="1" s="1"/>
  <c r="B91" i="1" s="1"/>
  <c r="B93" i="1" s="1"/>
  <c r="B95" i="1" s="1"/>
  <c r="B116" i="1" s="1"/>
  <c r="B137" i="1" s="1"/>
  <c r="B156" i="1" s="1"/>
  <c r="B175" i="1" s="1"/>
  <c r="B193" i="1" s="1"/>
  <c r="B214" i="1" s="1"/>
  <c r="B219" i="1" s="1"/>
  <c r="B239" i="1" s="1"/>
  <c r="B258" i="1" s="1"/>
  <c r="B277" i="1" s="1"/>
  <c r="B281" i="1" s="1"/>
  <c r="B284" i="1" s="1"/>
  <c r="B287" i="1" s="1"/>
  <c r="B305" i="1" s="1"/>
  <c r="B309" i="1" s="1"/>
  <c r="B313" i="1" s="1"/>
  <c r="B316" i="1" s="1"/>
  <c r="B319" i="1" s="1"/>
  <c r="B322" i="1" s="1"/>
  <c r="B329" i="1" s="1"/>
  <c r="B331" i="1" s="1"/>
  <c r="B336" i="1" s="1"/>
  <c r="B338" i="1" s="1"/>
  <c r="B340" i="1" s="1"/>
  <c r="B342" i="1" s="1"/>
  <c r="B344" i="1" s="1"/>
  <c r="B346" i="1" s="1"/>
  <c r="B348" i="1" s="1"/>
  <c r="B350" i="1" s="1"/>
  <c r="B354" i="1" s="1"/>
  <c r="B356" i="1" s="1"/>
  <c r="B360" i="1" s="1"/>
  <c r="B362" i="1" s="1"/>
  <c r="B364" i="1" s="1"/>
  <c r="B366" i="1" s="1"/>
  <c r="B368" i="1" s="1"/>
  <c r="B370" i="1" s="1"/>
  <c r="B372" i="1" s="1"/>
  <c r="B374" i="1" s="1"/>
  <c r="B375" i="1" s="1"/>
  <c r="E137" i="1"/>
  <c r="E219" i="1"/>
  <c r="E193" i="1"/>
  <c r="B377" i="1" l="1"/>
  <c r="B379" i="1" s="1"/>
  <c r="B385" i="1" s="1"/>
  <c r="B388" i="1" s="1"/>
  <c r="B394" i="1" s="1"/>
  <c r="G728" i="1"/>
  <c r="G712" i="1"/>
  <c r="G718" i="1"/>
  <c r="G739" i="1"/>
  <c r="H739" i="1" s="1"/>
  <c r="G757" i="1"/>
  <c r="G779" i="1"/>
  <c r="G796" i="1"/>
  <c r="G826" i="1"/>
  <c r="G814" i="1"/>
  <c r="G596" i="1"/>
  <c r="G586" i="1"/>
  <c r="G537" i="1"/>
  <c r="G520" i="1"/>
  <c r="G448" i="1"/>
  <c r="G426" i="1"/>
  <c r="G377" i="1"/>
  <c r="G372" i="1"/>
  <c r="G348" i="1"/>
  <c r="G342" i="1"/>
  <c r="G336" i="1"/>
  <c r="B49" i="2"/>
  <c r="A49" i="2"/>
  <c r="G706" i="1"/>
  <c r="G705" i="1" s="1"/>
  <c r="B29" i="2"/>
  <c r="A29" i="2"/>
  <c r="G329" i="1"/>
  <c r="B21" i="2"/>
  <c r="A21" i="2"/>
  <c r="G41" i="1"/>
  <c r="G40" i="1" s="1"/>
  <c r="B58" i="2"/>
  <c r="A58" i="2"/>
  <c r="B57" i="2"/>
  <c r="A57" i="2"/>
  <c r="B56" i="2"/>
  <c r="A56" i="2"/>
  <c r="B55" i="2"/>
  <c r="A55" i="2"/>
  <c r="B54" i="2"/>
  <c r="A54" i="2"/>
  <c r="B53" i="2"/>
  <c r="A53" i="2"/>
  <c r="B52" i="2"/>
  <c r="A52" i="2"/>
  <c r="B51" i="2"/>
  <c r="A51" i="2"/>
  <c r="B50" i="2"/>
  <c r="A50" i="2"/>
  <c r="B48" i="2"/>
  <c r="A48" i="2"/>
  <c r="B47" i="2"/>
  <c r="A47" i="2"/>
  <c r="B46" i="2"/>
  <c r="A46" i="2"/>
  <c r="A44" i="2"/>
  <c r="A18" i="6" s="1"/>
  <c r="B42" i="2"/>
  <c r="A42" i="2"/>
  <c r="B41" i="2"/>
  <c r="A41" i="2"/>
  <c r="B40" i="2"/>
  <c r="A40" i="2"/>
  <c r="B39" i="2"/>
  <c r="A39" i="2"/>
  <c r="B38" i="2"/>
  <c r="A38" i="2"/>
  <c r="B36" i="2"/>
  <c r="A36" i="2"/>
  <c r="B35" i="2"/>
  <c r="A35" i="2"/>
  <c r="B34" i="2"/>
  <c r="A34" i="2"/>
  <c r="B33" i="2"/>
  <c r="A33" i="2"/>
  <c r="B32" i="2"/>
  <c r="A32" i="2"/>
  <c r="B31" i="2"/>
  <c r="A31" i="2"/>
  <c r="B30" i="2"/>
  <c r="A30" i="2"/>
  <c r="B28" i="2"/>
  <c r="A28" i="2"/>
  <c r="B27" i="2"/>
  <c r="B26" i="2"/>
  <c r="B25" i="2"/>
  <c r="A27" i="2"/>
  <c r="A26" i="2"/>
  <c r="A25" i="2"/>
  <c r="A23" i="2"/>
  <c r="A17" i="6" s="1"/>
  <c r="B20" i="2"/>
  <c r="A20" i="2"/>
  <c r="B19" i="2"/>
  <c r="A19" i="2"/>
  <c r="B18" i="2"/>
  <c r="A18" i="2"/>
  <c r="B17" i="2"/>
  <c r="A17" i="2"/>
  <c r="B16" i="2"/>
  <c r="A16" i="2"/>
  <c r="A14" i="2"/>
  <c r="A16" i="6" s="1"/>
  <c r="E423" i="1"/>
  <c r="G423" i="1" s="1"/>
  <c r="E420" i="1"/>
  <c r="G420" i="1" s="1"/>
  <c r="G411" i="1"/>
  <c r="E407" i="1"/>
  <c r="G407" i="1" s="1"/>
  <c r="E403" i="1"/>
  <c r="G403" i="1" s="1"/>
  <c r="G397" i="1"/>
  <c r="E753" i="1"/>
  <c r="G753" i="1" s="1"/>
  <c r="E749" i="1"/>
  <c r="G749" i="1" s="1"/>
  <c r="E819" i="1"/>
  <c r="G819" i="1" s="1"/>
  <c r="E816" i="1"/>
  <c r="G816" i="1" s="1"/>
  <c r="G806" i="1"/>
  <c r="G798" i="1"/>
  <c r="E793" i="1"/>
  <c r="G793" i="1" s="1"/>
  <c r="E787" i="1"/>
  <c r="G787" i="1" s="1"/>
  <c r="E781" i="1"/>
  <c r="G781" i="1" s="1"/>
  <c r="E778" i="1"/>
  <c r="E777" i="1"/>
  <c r="E771" i="1"/>
  <c r="G771" i="1" s="1"/>
  <c r="E770" i="1"/>
  <c r="E769" i="1"/>
  <c r="E766" i="1"/>
  <c r="E765" i="1"/>
  <c r="E762" i="1"/>
  <c r="E761" i="1"/>
  <c r="E745" i="1"/>
  <c r="G745" i="1" s="1"/>
  <c r="E741" i="1"/>
  <c r="G741" i="1" s="1"/>
  <c r="E735" i="1"/>
  <c r="G735" i="1" s="1"/>
  <c r="H735" i="1" s="1"/>
  <c r="E730" i="1"/>
  <c r="G730" i="1" s="1"/>
  <c r="H730" i="1" s="1"/>
  <c r="G726" i="1"/>
  <c r="G724" i="1"/>
  <c r="E722" i="1"/>
  <c r="G722" i="1" s="1"/>
  <c r="E720" i="1"/>
  <c r="G720" i="1" s="1"/>
  <c r="G716" i="1"/>
  <c r="G714" i="1"/>
  <c r="G710" i="1"/>
  <c r="G708" i="1"/>
  <c r="E700" i="1"/>
  <c r="G700" i="1" s="1"/>
  <c r="G699" i="1" s="1"/>
  <c r="G690" i="1"/>
  <c r="G681" i="1"/>
  <c r="G672" i="1"/>
  <c r="G646" i="1"/>
  <c r="G637" i="1"/>
  <c r="G628" i="1"/>
  <c r="G619" i="1"/>
  <c r="G617" i="1"/>
  <c r="G615" i="1"/>
  <c r="G607" i="1"/>
  <c r="G599" i="1"/>
  <c r="E575" i="1"/>
  <c r="E574" i="1"/>
  <c r="E573" i="1"/>
  <c r="E572" i="1"/>
  <c r="E571" i="1"/>
  <c r="E570" i="1"/>
  <c r="E565" i="1"/>
  <c r="E564" i="1"/>
  <c r="E563" i="1"/>
  <c r="E562" i="1"/>
  <c r="E553" i="1"/>
  <c r="E552" i="1"/>
  <c r="E551" i="1"/>
  <c r="E550" i="1"/>
  <c r="E549" i="1"/>
  <c r="E548" i="1"/>
  <c r="E547" i="1"/>
  <c r="E544" i="1"/>
  <c r="E543" i="1"/>
  <c r="E542" i="1"/>
  <c r="E541" i="1"/>
  <c r="G594" i="1"/>
  <c r="G590" i="1"/>
  <c r="G588" i="1"/>
  <c r="G534" i="1"/>
  <c r="G528" i="1"/>
  <c r="E525" i="1"/>
  <c r="E524" i="1"/>
  <c r="G502" i="1"/>
  <c r="E499" i="1"/>
  <c r="G499" i="1" s="1"/>
  <c r="G482" i="1"/>
  <c r="G466" i="1"/>
  <c r="G450" i="1"/>
  <c r="G441" i="1"/>
  <c r="G438" i="1"/>
  <c r="G432" i="1"/>
  <c r="E394" i="1"/>
  <c r="G394" i="1" s="1"/>
  <c r="G388" i="1"/>
  <c r="E385" i="1"/>
  <c r="G385" i="1" s="1"/>
  <c r="G379" i="1"/>
  <c r="G375" i="1"/>
  <c r="G373" i="1" s="1"/>
  <c r="G370" i="1"/>
  <c r="G368" i="1"/>
  <c r="G366" i="1"/>
  <c r="G364" i="1"/>
  <c r="E354" i="1"/>
  <c r="G354" i="1" s="1"/>
  <c r="G350" i="1"/>
  <c r="G346" i="1"/>
  <c r="G344" i="1"/>
  <c r="G340" i="1"/>
  <c r="G338" i="1"/>
  <c r="E331" i="1"/>
  <c r="G331" i="1" s="1"/>
  <c r="E325" i="1"/>
  <c r="E322" i="1" s="1"/>
  <c r="E319" i="1"/>
  <c r="G319" i="1" s="1"/>
  <c r="E318" i="1"/>
  <c r="E316" i="1" s="1"/>
  <c r="G316" i="1" s="1"/>
  <c r="E313" i="1"/>
  <c r="G313" i="1" s="1"/>
  <c r="E312" i="1"/>
  <c r="E311" i="1"/>
  <c r="E305" i="1"/>
  <c r="G305" i="1" s="1"/>
  <c r="G287" i="1"/>
  <c r="E284" i="1"/>
  <c r="G284" i="1" s="1"/>
  <c r="E281" i="1"/>
  <c r="G281" i="1" s="1"/>
  <c r="E277" i="1"/>
  <c r="G258" i="1"/>
  <c r="G239" i="1"/>
  <c r="G219" i="1"/>
  <c r="G193" i="1"/>
  <c r="E190" i="1"/>
  <c r="E189" i="1"/>
  <c r="E188" i="1"/>
  <c r="E187" i="1"/>
  <c r="E186" i="1"/>
  <c r="E185" i="1"/>
  <c r="E184" i="1"/>
  <c r="E181" i="1"/>
  <c r="E180" i="1"/>
  <c r="E179" i="1"/>
  <c r="E178" i="1"/>
  <c r="E177" i="1"/>
  <c r="E172" i="1"/>
  <c r="E171" i="1"/>
  <c r="E170" i="1"/>
  <c r="E169" i="1"/>
  <c r="E168" i="1"/>
  <c r="E167" i="1"/>
  <c r="E166" i="1"/>
  <c r="E163" i="1"/>
  <c r="E162" i="1"/>
  <c r="E161" i="1"/>
  <c r="E160" i="1"/>
  <c r="E159" i="1"/>
  <c r="G137" i="1"/>
  <c r="E132" i="1"/>
  <c r="E131" i="1"/>
  <c r="E130" i="1"/>
  <c r="E129" i="1"/>
  <c r="E128" i="1"/>
  <c r="E127" i="1"/>
  <c r="E123" i="1"/>
  <c r="E122" i="1"/>
  <c r="E121" i="1"/>
  <c r="E120" i="1"/>
  <c r="E119" i="1"/>
  <c r="E111" i="1"/>
  <c r="E110" i="1"/>
  <c r="E109" i="1"/>
  <c r="E108" i="1"/>
  <c r="E107" i="1"/>
  <c r="E106" i="1"/>
  <c r="E102" i="1"/>
  <c r="E101" i="1"/>
  <c r="E100" i="1"/>
  <c r="E99" i="1"/>
  <c r="E98" i="1"/>
  <c r="G93" i="1"/>
  <c r="G72" i="1"/>
  <c r="E69" i="1"/>
  <c r="E68" i="1"/>
  <c r="E67" i="1"/>
  <c r="E66" i="1"/>
  <c r="E65" i="1"/>
  <c r="E64" i="1"/>
  <c r="E63" i="1"/>
  <c r="E61" i="1"/>
  <c r="E60" i="1"/>
  <c r="E59" i="1"/>
  <c r="E58" i="1"/>
  <c r="E57" i="1"/>
  <c r="G52" i="1"/>
  <c r="G49" i="1"/>
  <c r="E48" i="1"/>
  <c r="E47" i="1"/>
  <c r="E46" i="1"/>
  <c r="E37" i="1"/>
  <c r="E36" i="1" s="1"/>
  <c r="E35" i="1"/>
  <c r="E34" i="1" s="1"/>
  <c r="G34" i="1" s="1"/>
  <c r="E33" i="1"/>
  <c r="E31" i="1" s="1"/>
  <c r="G31" i="1" s="1"/>
  <c r="E29" i="1"/>
  <c r="E27" i="1" s="1"/>
  <c r="G27" i="1" s="1"/>
  <c r="G26" i="1" s="1"/>
  <c r="C19" i="2" s="1"/>
  <c r="E25" i="1"/>
  <c r="E23" i="1" s="1"/>
  <c r="E21" i="1"/>
  <c r="E19" i="1" s="1"/>
  <c r="G19" i="1" s="1"/>
  <c r="G18" i="1" s="1"/>
  <c r="C17" i="2" s="1"/>
  <c r="E17" i="1"/>
  <c r="G815" i="1" l="1"/>
  <c r="C58" i="2" s="1"/>
  <c r="H594" i="1"/>
  <c r="I11" i="1" s="1"/>
  <c r="G587" i="1"/>
  <c r="C42" i="2" s="1"/>
  <c r="G780" i="1"/>
  <c r="C56" i="2" s="1"/>
  <c r="G707" i="1"/>
  <c r="C50" i="2" s="1"/>
  <c r="G797" i="1"/>
  <c r="C57" i="2" s="1"/>
  <c r="G330" i="1"/>
  <c r="C31" i="2" s="1"/>
  <c r="E522" i="1"/>
  <c r="G522" i="1" s="1"/>
  <c r="G521" i="1" s="1"/>
  <c r="G671" i="1"/>
  <c r="C47" i="2" s="1"/>
  <c r="E763" i="1"/>
  <c r="G763" i="1" s="1"/>
  <c r="E309" i="1"/>
  <c r="G309" i="1" s="1"/>
  <c r="G713" i="1"/>
  <c r="C51" i="2" s="1"/>
  <c r="E759" i="1"/>
  <c r="G759" i="1" s="1"/>
  <c r="G449" i="1"/>
  <c r="C39" i="2" s="1"/>
  <c r="G337" i="1"/>
  <c r="C32" i="2" s="1"/>
  <c r="G378" i="1"/>
  <c r="C36" i="2" s="1"/>
  <c r="G431" i="1"/>
  <c r="C38" i="2" s="1"/>
  <c r="B397" i="1"/>
  <c r="B403" i="1" s="1"/>
  <c r="B407" i="1" s="1"/>
  <c r="B411" i="1" s="1"/>
  <c r="B416" i="1" s="1"/>
  <c r="B420" i="1" s="1"/>
  <c r="B423" i="1" s="1"/>
  <c r="B426" i="1" s="1"/>
  <c r="B428" i="1" s="1"/>
  <c r="B429" i="1" s="1"/>
  <c r="B430" i="1" s="1"/>
  <c r="B432" i="1" s="1"/>
  <c r="B438" i="1" s="1"/>
  <c r="B441" i="1" s="1"/>
  <c r="B444" i="1" s="1"/>
  <c r="B448" i="1" s="1"/>
  <c r="B450" i="1" s="1"/>
  <c r="B466" i="1" s="1"/>
  <c r="B482" i="1" s="1"/>
  <c r="B499" i="1" s="1"/>
  <c r="B502" i="1" s="1"/>
  <c r="B520" i="1" s="1"/>
  <c r="B522" i="1" s="1"/>
  <c r="B528" i="1" s="1"/>
  <c r="B534" i="1" s="1"/>
  <c r="B537" i="1" s="1"/>
  <c r="B539" i="1" s="1"/>
  <c r="B560" i="1" s="1"/>
  <c r="B582" i="1" s="1"/>
  <c r="B586" i="1" s="1"/>
  <c r="B588" i="1" s="1"/>
  <c r="B590" i="1" s="1"/>
  <c r="B592" i="1" s="1"/>
  <c r="B594" i="1" s="1"/>
  <c r="G729" i="1"/>
  <c r="C53" i="2" s="1"/>
  <c r="G343" i="1"/>
  <c r="C33" i="2" s="1"/>
  <c r="C48" i="2"/>
  <c r="G349" i="1"/>
  <c r="C34" i="2" s="1"/>
  <c r="G598" i="1"/>
  <c r="E560" i="1"/>
  <c r="G560" i="1" s="1"/>
  <c r="E15" i="1"/>
  <c r="G15" i="1" s="1"/>
  <c r="G14" i="1" s="1"/>
  <c r="C16" i="2" s="1"/>
  <c r="E116" i="1"/>
  <c r="G116" i="1" s="1"/>
  <c r="E156" i="1"/>
  <c r="G156" i="1" s="1"/>
  <c r="E175" i="1"/>
  <c r="G175" i="1" s="1"/>
  <c r="E539" i="1"/>
  <c r="G539" i="1" s="1"/>
  <c r="E95" i="1"/>
  <c r="G95" i="1" s="1"/>
  <c r="G719" i="1"/>
  <c r="C52" i="2" s="1"/>
  <c r="G23" i="1"/>
  <c r="G22" i="1" s="1"/>
  <c r="C18" i="2" s="1"/>
  <c r="E55" i="1"/>
  <c r="G55" i="1" s="1"/>
  <c r="E767" i="1"/>
  <c r="G767" i="1" s="1"/>
  <c r="G740" i="1"/>
  <c r="C54" i="2" s="1"/>
  <c r="G322" i="1"/>
  <c r="C21" i="2"/>
  <c r="C49" i="2"/>
  <c r="C35" i="2"/>
  <c r="G328" i="1"/>
  <c r="C29" i="2" s="1"/>
  <c r="E774" i="1"/>
  <c r="G774" i="1" s="1"/>
  <c r="G214" i="1"/>
  <c r="E44" i="1"/>
  <c r="G44" i="1" s="1"/>
  <c r="G43" i="1" s="1"/>
  <c r="G277" i="1"/>
  <c r="E39" i="1"/>
  <c r="G39" i="1" s="1"/>
  <c r="E38" i="1"/>
  <c r="G38" i="1" s="1"/>
  <c r="G36" i="1"/>
  <c r="B596" i="1" l="1"/>
  <c r="G54" i="1"/>
  <c r="G30" i="1"/>
  <c r="G758" i="1"/>
  <c r="C55" i="2" s="1"/>
  <c r="G538" i="1"/>
  <c r="C41" i="2" s="1"/>
  <c r="G276" i="1"/>
  <c r="C28" i="2" s="1"/>
  <c r="G213" i="1"/>
  <c r="G308" i="1"/>
  <c r="C30" i="2" s="1"/>
  <c r="C25" i="2"/>
  <c r="C46" i="2"/>
  <c r="C40" i="2"/>
  <c r="G42" i="1" l="1"/>
  <c r="C43" i="2" s="1"/>
  <c r="B599" i="1"/>
  <c r="B607" i="1" s="1"/>
  <c r="B615" i="1" s="1"/>
  <c r="B617" i="1" s="1"/>
  <c r="B619" i="1" s="1"/>
  <c r="B628" i="1" s="1"/>
  <c r="B637" i="1" s="1"/>
  <c r="B646" i="1" s="1"/>
  <c r="B655" i="1" s="1"/>
  <c r="B663" i="1" s="1"/>
  <c r="B672" i="1" s="1"/>
  <c r="B681" i="1" s="1"/>
  <c r="B690" i="1" s="1"/>
  <c r="B700" i="1" s="1"/>
  <c r="B706" i="1" s="1"/>
  <c r="B708" i="1" s="1"/>
  <c r="B710" i="1" s="1"/>
  <c r="B712" i="1" s="1"/>
  <c r="B714" i="1" s="1"/>
  <c r="B716" i="1" s="1"/>
  <c r="B718" i="1" s="1"/>
  <c r="B720" i="1" s="1"/>
  <c r="B722" i="1" s="1"/>
  <c r="B724" i="1" s="1"/>
  <c r="B726" i="1" s="1"/>
  <c r="B728" i="1" s="1"/>
  <c r="B730" i="1" s="1"/>
  <c r="B735" i="1" s="1"/>
  <c r="B739" i="1" s="1"/>
  <c r="B741" i="1" s="1"/>
  <c r="B745" i="1" s="1"/>
  <c r="B749" i="1" s="1"/>
  <c r="B753" i="1" s="1"/>
  <c r="B757" i="1" s="1"/>
  <c r="B759" i="1" s="1"/>
  <c r="B763" i="1" s="1"/>
  <c r="B767" i="1" s="1"/>
  <c r="B771" i="1" s="1"/>
  <c r="B774" i="1" s="1"/>
  <c r="B779" i="1" s="1"/>
  <c r="B781" i="1" s="1"/>
  <c r="B787" i="1" s="1"/>
  <c r="B793" i="1" s="1"/>
  <c r="B796" i="1" s="1"/>
  <c r="B798" i="1" s="1"/>
  <c r="B806" i="1" s="1"/>
  <c r="B814" i="1" s="1"/>
  <c r="B816" i="1" s="1"/>
  <c r="B819" i="1" s="1"/>
  <c r="B822" i="1" s="1"/>
  <c r="B824" i="1" s="1"/>
  <c r="G597" i="1"/>
  <c r="C59" i="2" s="1"/>
  <c r="H18" i="6" s="1"/>
  <c r="G13" i="1"/>
  <c r="G53" i="2"/>
  <c r="C27" i="2"/>
  <c r="C26" i="2"/>
  <c r="G32" i="2" s="1"/>
  <c r="C20" i="2"/>
  <c r="G19" i="2" s="1"/>
  <c r="B826" i="1" l="1"/>
  <c r="C22" i="2"/>
  <c r="H16" i="6" s="1"/>
  <c r="C13" i="2" l="1"/>
  <c r="H17" i="6"/>
  <c r="H21" i="6" s="1"/>
  <c r="F25" i="6" s="1"/>
  <c r="F26" i="6" l="1"/>
  <c r="F27" i="6" s="1"/>
  <c r="F29" i="6" s="1"/>
  <c r="F2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  <author>Pavel Veternik</author>
  </authors>
  <commentList>
    <comment ref="C11" authorId="0" shapeId="0" xr:uid="{CCDFB9B3-A454-4454-BCC5-CA409C847E49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H11" authorId="0" shapeId="0" xr:uid="{1A7F7E2A-C735-4C60-93C3-FEF526420FAE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C12" authorId="0" shapeId="0" xr:uid="{25F21ABC-A2DC-48E1-9CEF-67413EA5086A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H12" authorId="0" shapeId="0" xr:uid="{8AFAF4D9-536D-4166-9724-AB1B6364F93D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C13" authorId="0" shapeId="0" xr:uid="{432B0072-7326-44E5-87F7-0C92BC681BAB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D13" authorId="1" shapeId="0" xr:uid="{31284207-387F-40F0-BA0B-67B59E69458A}">
      <text>
        <r>
          <rPr>
            <sz val="9"/>
            <color indexed="81"/>
            <rFont val="Tahoma"/>
            <family val="2"/>
            <charset val="238"/>
          </rPr>
          <t>Místo</t>
        </r>
      </text>
    </comment>
  </commentList>
</comments>
</file>

<file path=xl/sharedStrings.xml><?xml version="1.0" encoding="utf-8"?>
<sst xmlns="http://schemas.openxmlformats.org/spreadsheetml/2006/main" count="1083" uniqueCount="467">
  <si>
    <t>Položkový výkaz výměr</t>
  </si>
  <si>
    <t>Akce:</t>
  </si>
  <si>
    <t>Investor:</t>
  </si>
  <si>
    <t xml:space="preserve">Město Luhačovice, nám. 28. října </t>
  </si>
  <si>
    <t>Projektant:</t>
  </si>
  <si>
    <t xml:space="preserve">Bc. Jan Buberník, Bc. Karel Repatý </t>
  </si>
  <si>
    <t>Důležité upozornění:</t>
  </si>
  <si>
    <t>pro případ nečekaných výdajů. Bližší specifikace činnosti a materiálů jsou uvedeny v projektové dokumentaci a ve statických posudcích objektu.</t>
  </si>
  <si>
    <t xml:space="preserve">Veškeré položky jsou včetně dodávky materiálu a práce - montáže. </t>
  </si>
  <si>
    <t>Položka č.</t>
  </si>
  <si>
    <t>Název položky</t>
  </si>
  <si>
    <t>MJ</t>
  </si>
  <si>
    <t>množství</t>
  </si>
  <si>
    <t>cena / MJ</t>
  </si>
  <si>
    <t>DÍL: 96</t>
  </si>
  <si>
    <t>Bourání konstrukcí</t>
  </si>
  <si>
    <t>Vysekání drážky pro uložení ocelového průvlaku, hloubka 15 cm, výška 25cm</t>
  </si>
  <si>
    <t>mb</t>
  </si>
  <si>
    <t>Jedná se o vysekání drážky v nosné stěně z cihel plných pálených tloušťky 30 cm. Ve výšce 3.5 m nad čistou podlahou</t>
  </si>
  <si>
    <t>Výpočet: (5.3*2)=10.6</t>
  </si>
  <si>
    <t xml:space="preserve">Vybourání otvoru v nosných stěnách tl. 30 cm, š. 4.5 m, v. 3.5 m 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</si>
  <si>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3</t>
    </r>
  </si>
  <si>
    <t>Výpočet: (4.5*3.5*0.3)=4.725</t>
  </si>
  <si>
    <t>Vnitrostaveništní doprava suti do 50 m s nakládkou na dopravní prostředky</t>
  </si>
  <si>
    <t>Výpočet: 4.73+5.3*0.15*0.25*2=5.1275</t>
  </si>
  <si>
    <t xml:space="preserve">Odvoz suti a vybouraných hmot na skládku do 40 km </t>
  </si>
  <si>
    <t xml:space="preserve">Poplatek za uložení suti na skládku - beton, cihla plná pálená, malta, </t>
  </si>
  <si>
    <t>DÍL: 3</t>
  </si>
  <si>
    <t>Svislé a kompletní konstrukce</t>
  </si>
  <si>
    <t>D+M ocelový průvlak IPE 220, délky 5.3 m</t>
  </si>
  <si>
    <t>ks</t>
  </si>
  <si>
    <t xml:space="preserve">Dodávka a montáž ocelového válcovaného nosníku IPE 220 délky 5.3m, uložení na ocelovou roznášecí plotnu, popřípadě na vybetonovanou roznášecí plochu, </t>
  </si>
  <si>
    <t>Výpočet: (2*1)=2</t>
  </si>
  <si>
    <t>DÍL: 61</t>
  </si>
  <si>
    <t>Úpravy povrchů vnitřní</t>
  </si>
  <si>
    <t>Omítka jádrová, vápenná, ručně</t>
  </si>
  <si>
    <r>
      <t>m</t>
    </r>
    <r>
      <rPr>
        <vertAlign val="superscript"/>
        <sz val="11"/>
        <color theme="1"/>
        <rFont val="Calibri"/>
        <family val="2"/>
        <charset val="238"/>
        <scheme val="minor"/>
      </rPr>
      <t>2</t>
    </r>
  </si>
  <si>
    <t>Zapravení hrubou omítkou ostění nového otvoru a zaomítání nového průvlaku</t>
  </si>
  <si>
    <t>Výpočet: 0.3*(3.5+3.5+4.5)+0.25*5.3*2=6.1</t>
  </si>
  <si>
    <t>DÍL: 63</t>
  </si>
  <si>
    <t>Podlahy a podlahové konstrukce</t>
  </si>
  <si>
    <t xml:space="preserve">Betonový potěr, ruční zpracování, tl. do 100 mm </t>
  </si>
  <si>
    <t xml:space="preserve">Zapravení podlahové konstrukce po vybourání části nosné stěny. </t>
  </si>
  <si>
    <t>Výpočet: 0.3*4.5=1.35</t>
  </si>
  <si>
    <t>DÍL: 94</t>
  </si>
  <si>
    <t>Lešení a stavební výtahy</t>
  </si>
  <si>
    <t xml:space="preserve">Lešení lehké pomocné, výška podlahy do 2.0 m </t>
  </si>
  <si>
    <t xml:space="preserve">Pomocné lešení pro vybourání drážky, uložení průvlaku, bourání zdiva, zapravení omítek, doba 1 měsíc </t>
  </si>
  <si>
    <t>Výpočet:(3.5*4.5)=15.75</t>
  </si>
  <si>
    <t>Bourání příček z cihel pálených plných/děrovaných, tl. 100 mm</t>
  </si>
  <si>
    <t xml:space="preserve">Výpočet: </t>
  </si>
  <si>
    <t>m.č. 129: (0.85+0.95)*3.32=5.976</t>
  </si>
  <si>
    <t>m.č. 137: (3.55+1.45)*3.32=16.6</t>
  </si>
  <si>
    <t>Vysekání ocelových zárubní v nenosné stěně tl. 100 mm, 600/1970 mm</t>
  </si>
  <si>
    <t>m.č. 129: 1</t>
  </si>
  <si>
    <t>Bourání příček sádrokartonových tl. 100 mm s ocelovou konstrukcí</t>
  </si>
  <si>
    <t>m.č. 128: (4.0*3.32) = 13.28</t>
  </si>
  <si>
    <t>Demontáž ocelových zárubní v SDK příčce tl. 100 mm, 900/1970 mm</t>
  </si>
  <si>
    <t>m.č. 128: 1</t>
  </si>
  <si>
    <t>Bourání dlažeb keramických tl. 10 mm</t>
  </si>
  <si>
    <t>m.č.128 = 26.56</t>
  </si>
  <si>
    <t>m.č. 129 = (1.45*0.85) = 1.2325</t>
  </si>
  <si>
    <t>DÍL: 766</t>
  </si>
  <si>
    <t xml:space="preserve">Konstrukce truhlářské </t>
  </si>
  <si>
    <t>2.NP - 6 ks</t>
  </si>
  <si>
    <t>Demontáž dveřních křídel, dvoukřídlových, 1800/1970</t>
  </si>
  <si>
    <t>Výpočet:</t>
  </si>
  <si>
    <t>1.NP - 1 ks</t>
  </si>
  <si>
    <t>Demontáž prahů dveří jednokřídlových</t>
  </si>
  <si>
    <t>Demontáž prahů dveří dvoukřídlových</t>
  </si>
  <si>
    <t>soubor</t>
  </si>
  <si>
    <t>DÍL: 781</t>
  </si>
  <si>
    <t xml:space="preserve">Obklady (keramické) </t>
  </si>
  <si>
    <t>Odsekání obkladů vnitřních</t>
  </si>
  <si>
    <t>m.č. 128 = (0.85+2.25+0.7)*1.5</t>
  </si>
  <si>
    <t>m.č. 129 = (0.7+0.85+1.45)*1.5</t>
  </si>
  <si>
    <r>
      <t>m.č. 129 = 8.274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</si>
  <si>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r>
      <t>m.č. 130 = 13.986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</si>
  <si>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t>Keramický obklad  600 x 300 mm, tl. 10 mm</t>
  </si>
  <si>
    <t>DÍL: 776</t>
  </si>
  <si>
    <t xml:space="preserve">Podlahy povlakové </t>
  </si>
  <si>
    <t>Odstranění povlakových nášlapných vrstev PVC, lepených</t>
  </si>
  <si>
    <t>m.č. 123 = 11.21</t>
  </si>
  <si>
    <t>m.č. 124 = 64.65</t>
  </si>
  <si>
    <t>m.č. 125 = 50.81</t>
  </si>
  <si>
    <t>m.č. 126 = 18.30</t>
  </si>
  <si>
    <t>m.č. 127 = 51.48</t>
  </si>
  <si>
    <t>m.č. 137 = 16.04</t>
  </si>
  <si>
    <t>m.č. 223 = 15.5</t>
  </si>
  <si>
    <t>m.č. 225 = 53.4</t>
  </si>
  <si>
    <t>m.č. 226 = 52.8</t>
  </si>
  <si>
    <t>m.č. 228 = 12.325</t>
  </si>
  <si>
    <t>m.č. 229 = 3.72</t>
  </si>
  <si>
    <t>m.č. 241 = 25.70</t>
  </si>
  <si>
    <t xml:space="preserve">Demontáž soklíků nebo lišt, z PVC </t>
  </si>
  <si>
    <t>Montáž povlakové podlahy - zátěžové PVC, lepené</t>
  </si>
  <si>
    <t>m.č. 128 = 26.73</t>
  </si>
  <si>
    <t>m.č. 138 = 16.04</t>
  </si>
  <si>
    <t>Zátěžové PVC, včetně lepidla</t>
  </si>
  <si>
    <t>Lepení PVC soklíků, v. 100 mm</t>
  </si>
  <si>
    <t>Včetně dodávky materiálu.</t>
  </si>
  <si>
    <t>m.č. 123 = 13.5</t>
  </si>
  <si>
    <t>m.č. 124 = 42.9</t>
  </si>
  <si>
    <t>m.č. 125 = 30.8</t>
  </si>
  <si>
    <t>m.č. 126 = 18.11</t>
  </si>
  <si>
    <t>m.č. 127 = 29.19</t>
  </si>
  <si>
    <t>m.č. 128 = 24.6</t>
  </si>
  <si>
    <t>m.č. 138 = 16.20</t>
  </si>
  <si>
    <t>m.č. 223 = 18.5</t>
  </si>
  <si>
    <t>m.č. 225 = 29.8</t>
  </si>
  <si>
    <t>m.č. 226 = 29.6</t>
  </si>
  <si>
    <t>m.č. 228 = 16.1</t>
  </si>
  <si>
    <t>m.č. 229 = 7.9</t>
  </si>
  <si>
    <t>m.č. 241 = 21.8</t>
  </si>
  <si>
    <t>DÍL: 784</t>
  </si>
  <si>
    <t>Malby</t>
  </si>
  <si>
    <t xml:space="preserve">Odstranění malby oškrábáním v místnosti výšky do 3.5 m </t>
  </si>
  <si>
    <t xml:space="preserve">Výpočet: (strop + stěny) </t>
  </si>
  <si>
    <t>m.č. 123 = 11.21+42.05 = 53.26</t>
  </si>
  <si>
    <t>m.č. 124 = 64.65+136.503 = 201.153</t>
  </si>
  <si>
    <t>m.č. 125 = 50.81+93.506 = 144.316</t>
  </si>
  <si>
    <t>m.č. 127 = 51.48+93.131 = 144.611</t>
  </si>
  <si>
    <t>m.č. 128 = 26.73+88.604-7.05= 108.284</t>
  </si>
  <si>
    <t>m.č. 129 = 1.233+12.474-5.25  = 8.457</t>
  </si>
  <si>
    <t>m.č. 137 = 16.04+39.17 = 55.21</t>
  </si>
  <si>
    <t>m.č. 223 = 15.5+55.025 = 70.525</t>
  </si>
  <si>
    <t>m.č. 225 = 53.4+91.606 = 145.006</t>
  </si>
  <si>
    <t>m.č. 226 = 52.8+82.132 = 134.932</t>
  </si>
  <si>
    <t>m.č. 228 = 12.325+44.779 = 57.104</t>
  </si>
  <si>
    <t>m.č. 229 = 3.72+21.625 = 25.345</t>
  </si>
  <si>
    <t>m.č. 241 = 25.70+60.53 = 86.23</t>
  </si>
  <si>
    <t xml:space="preserve">Malba HET Klasik, bílá, bez penetrace 2x </t>
  </si>
  <si>
    <t>m.č. 128 = 22.82+78.102 = 100.922</t>
  </si>
  <si>
    <t>m.č. 129 = 1.334+14.057 - 8.274 = 7.117</t>
  </si>
  <si>
    <t>m.č. 130 = 3.488+23.209 - 13.986= 12.711</t>
  </si>
  <si>
    <t>m.č. 138 = 16.04+51,684 = 67.724</t>
  </si>
  <si>
    <t xml:space="preserve">Odstranění štukové vrstvy vnitřních stropů </t>
  </si>
  <si>
    <t>m.č. 129 = 1.23</t>
  </si>
  <si>
    <t xml:space="preserve">Odstranění štukové vrstvy omítky z vnitřních stěn </t>
  </si>
  <si>
    <t>m.č. 123 = 42.05</t>
  </si>
  <si>
    <t>m.č. 124 = 136.503</t>
  </si>
  <si>
    <t>m.č. 125 = 93.506</t>
  </si>
  <si>
    <t xml:space="preserve">m.č. 127 = 93.131 </t>
  </si>
  <si>
    <t>m.č. 128 = 88.604 - 7.05 = 81.554</t>
  </si>
  <si>
    <t>m.č. 129 = 12.474 - 5.25  = 8.457</t>
  </si>
  <si>
    <t>m.č. 137 = 39.17</t>
  </si>
  <si>
    <t xml:space="preserve">m.č. 223 = 55.025 </t>
  </si>
  <si>
    <t xml:space="preserve">m.č. 225 = 91.606 </t>
  </si>
  <si>
    <t xml:space="preserve">m.č. 226 = 82.132 </t>
  </si>
  <si>
    <t>m.č. 228 = 44.779</t>
  </si>
  <si>
    <t xml:space="preserve">m.č. 229 = 21.625 </t>
  </si>
  <si>
    <t xml:space="preserve">m.č. 241 = 60.53 </t>
  </si>
  <si>
    <t>Zapravení sanace trhlin - interiér</t>
  </si>
  <si>
    <t>Zahrubování prasklin tenkovrstvou maltou.</t>
  </si>
  <si>
    <t xml:space="preserve">Zpravení drážek jádrovou omítkou </t>
  </si>
  <si>
    <t>Zahrubování drážek po nově zbudovaných rozvodů ZTI jádrovou (hrubou) omítkou.</t>
  </si>
  <si>
    <t xml:space="preserve">Penetrační nátěr stěn a stropu </t>
  </si>
  <si>
    <t>Hloubková penetrace podkladu po oškrábání štukové vrstvy omítky.</t>
  </si>
  <si>
    <t>m.č. 128 = 26.73+88.604 = 115.334</t>
  </si>
  <si>
    <t>m.č. 129 = 1.334+14.057 = 15.391</t>
  </si>
  <si>
    <t>m.č. 130 = 3.488+23.209 = 26.697</t>
  </si>
  <si>
    <t>m.č. 138 = 16.04+51.684 = 67.724</t>
  </si>
  <si>
    <t xml:space="preserve">Kontaktní adhezní nátěr stěn a stropů (adhezní můstek) </t>
  </si>
  <si>
    <t>Podkladový nátěr pro zvýšení přilnavosti vyrovnávacích hmot.</t>
  </si>
  <si>
    <t>Vnitřní omítka stěn stěrkovou hmotou (2x lepidlo) + výztužná sklovláknitá tkanina</t>
  </si>
  <si>
    <t xml:space="preserve">Hrubá omítka stěn po oškrábání staré štukové vrstvy na účelem srovnání povrchu. Na podkladu musí být předem proveden penetrančí nátěr a adhezní můstek. </t>
  </si>
  <si>
    <t xml:space="preserve">m.č. 128 = 88.604 </t>
  </si>
  <si>
    <t>m.č. 129 = 14.057</t>
  </si>
  <si>
    <t>m.č. 130 = 23.209</t>
  </si>
  <si>
    <t>m.č. 138 = 51.684</t>
  </si>
  <si>
    <t>Vnitřní omítka stropů stěrkovou hmotou (2x lepidlo) + výztužná sklovláknitá tkanina</t>
  </si>
  <si>
    <t>m.č. 129 = 1.334</t>
  </si>
  <si>
    <t>m.č. 130 = 3.488</t>
  </si>
  <si>
    <t>Vnitřní štuková omítka stropu, ručně</t>
  </si>
  <si>
    <t>Vnitřní štuková omítka stěn, ručně</t>
  </si>
  <si>
    <t>m.č. 123 = 42.045</t>
  </si>
  <si>
    <t>m.č. 128 = 78.102</t>
  </si>
  <si>
    <t>m.č. 129 = 14.057 - 8.274  = 5.783</t>
  </si>
  <si>
    <t>m.č. 130 = 23.209 - 13.986 = 9.223</t>
  </si>
  <si>
    <t>DÍL: M65</t>
  </si>
  <si>
    <t>Elektroinstalace</t>
  </si>
  <si>
    <t xml:space="preserve">Demontáž stávajících elektroinstalací </t>
  </si>
  <si>
    <t xml:space="preserve">Demontáž veškerých elektroinstalačních zařízení (světla, vypínačů, zásuvky apod.) a vysekání stávající rozvodů elektroinstalací </t>
  </si>
  <si>
    <t xml:space="preserve">D+M nových rozvodů elektroinstalací pod omítkou </t>
  </si>
  <si>
    <t xml:space="preserve">Montáž nových rozvodů elektroinstalací z měděných kabelů CYKY zasekaných pod omítkou a napojeny do stávající eletrických rozvaděčů </t>
  </si>
  <si>
    <t>D+M kompletace elektroinstalací</t>
  </si>
  <si>
    <t>Vyřezání rýhy v podlaze šířky 100 mm</t>
  </si>
  <si>
    <t>Vytvoření rýhy v podlahové konstrukci (10x10 cm) pro vyzdění nenosných příček.</t>
  </si>
  <si>
    <t>m.č. 128 = 4.0+2.28+1.0+0.9 = 8.18 m</t>
  </si>
  <si>
    <t>m.č. 138 = 2.9 m</t>
  </si>
  <si>
    <t xml:space="preserve">Očištění podkladu </t>
  </si>
  <si>
    <t>Očištění podkladu po odstranění nášlapných vrstev (PVC, keramická dlažba)</t>
  </si>
  <si>
    <t>Hloubková penetrace podkladu.</t>
  </si>
  <si>
    <t xml:space="preserve">Penetrace podlah po očištění podkladu. </t>
  </si>
  <si>
    <t>m.č. 129 = 1.233</t>
  </si>
  <si>
    <t>Samonivelační stěrka tl. do 10 mm</t>
  </si>
  <si>
    <t>Samonivelační stěrka pro srovnání nerovností tl. 0 - 10 mm</t>
  </si>
  <si>
    <t xml:space="preserve">DÍL: 3 </t>
  </si>
  <si>
    <t>Příčky z pórobetonových tvárnic Ytong, tl. 100 mm</t>
  </si>
  <si>
    <r>
      <t>m.č. 128 = (4.0+2.28+1.0+0.9) * 3.32 = 27.1576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</si>
  <si>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r>
      <t>m.č. 138 = 2.9 * 3.32 = 9.628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</si>
  <si>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t>otvory: (1.0+0.9+0.9+0.8)*2.05</t>
  </si>
  <si>
    <t xml:space="preserve">D+M nenosný překlad Ytong NEP 100 - 1250 </t>
  </si>
  <si>
    <t>m.č. 128, 129, 130, 138 = 4 ks</t>
  </si>
  <si>
    <t>Obezdění splachovací nádržky, pórobetonové tvárnice Ytong</t>
  </si>
  <si>
    <t>DÍL: 64</t>
  </si>
  <si>
    <t xml:space="preserve">Výplně otvorů </t>
  </si>
  <si>
    <t>Osazení zárubní dveřních ocelových, včetně dodávky zárubně 80x197x11 cm</t>
  </si>
  <si>
    <t>m.č. 128 = 1 ks</t>
  </si>
  <si>
    <t>m.č. 130 = 1 ks</t>
  </si>
  <si>
    <t>Osazení zárubní dveřních ocelových, včetně dodávky zárubně 70x197x11 cm</t>
  </si>
  <si>
    <t>m.č. 129 = 1 ks</t>
  </si>
  <si>
    <t>Osazení zárubní dveřních ocelových, včetně dodávky zárubně 90x197x11 cm</t>
  </si>
  <si>
    <t>m.č. 138 = 1 ks</t>
  </si>
  <si>
    <t>Nátěr ocelových zárubní jednokřídlových, základní nátěr + lak</t>
  </si>
  <si>
    <t>Očištění a nátěr ocelových zárubní syntetickou antikorozní základní barvou a vrchním polyuretanovým lakem</t>
  </si>
  <si>
    <t>m.č. 123 = 1 ks</t>
  </si>
  <si>
    <t>m.č. 124 = 1 ks</t>
  </si>
  <si>
    <t>m.č. 125 = 2 ks</t>
  </si>
  <si>
    <t>m.č. 126 = 1 ks</t>
  </si>
  <si>
    <t>m.č. 223 = 1 ks</t>
  </si>
  <si>
    <t>m.č. 225 = 1 ks</t>
  </si>
  <si>
    <t>m.č. 226 = 1 ks</t>
  </si>
  <si>
    <t>m.č. 228 = 1 ks</t>
  </si>
  <si>
    <t>m.č. 241 = 2 ks</t>
  </si>
  <si>
    <t>Nátěr ocelových zárubní dvoukřídlových, základní nátěr + lak</t>
  </si>
  <si>
    <t>m.č. 127 = 1 ks</t>
  </si>
  <si>
    <t>DÍL: 722</t>
  </si>
  <si>
    <t>Vnitřní vodovod</t>
  </si>
  <si>
    <t>Demontáž stávajících rozvodů vody</t>
  </si>
  <si>
    <t xml:space="preserve">D+M nových rozvodů vnitřního vodovodu </t>
  </si>
  <si>
    <t>DÍL: 725</t>
  </si>
  <si>
    <t>Zařizovací předměty</t>
  </si>
  <si>
    <t>Demontáž umyvadla včetně baterie a zápachové uzávěry</t>
  </si>
  <si>
    <t>Výpočet: m.č. 128</t>
  </si>
  <si>
    <t>Demontáž výlevky včetně splachovací nádrže</t>
  </si>
  <si>
    <t>Výpočet: m.č. 129</t>
  </si>
  <si>
    <t xml:space="preserve">D+M výlevky včetně splachovací nádrže </t>
  </si>
  <si>
    <t>D+M výlevky včetně splachovací nádrže do místnosti č. 129</t>
  </si>
  <si>
    <t>D+M umyvadla pro imobilní včetně příslušenství</t>
  </si>
  <si>
    <t xml:space="preserve">D+M umyvadla pro imobilní včetně stojánkové baterie, zápachové uzávěry a připojovacích armatur v místnosti č. 130. </t>
  </si>
  <si>
    <t xml:space="preserve">D+M 2 x madlo s nosností 150 kg. </t>
  </si>
  <si>
    <t>D+M madla k WC pro imobilní. Nosnost 150 kg. Vzájemná vzdálenost 600 mm a 800 mm nad podlahou.</t>
  </si>
  <si>
    <t>DÍL: 721</t>
  </si>
  <si>
    <t>Vnitřní kanalizace</t>
  </si>
  <si>
    <t>Demontáž stávajících rozvodů vnitřní kanalizace</t>
  </si>
  <si>
    <t>Demontáž veškerých rozvodů vnitřní kanalizace</t>
  </si>
  <si>
    <t>D+M nových rozvodů vnitřní kanalizace</t>
  </si>
  <si>
    <t>Vnitřní kanalizace z materiálu PVC-HT.</t>
  </si>
  <si>
    <t>DÍL: 728</t>
  </si>
  <si>
    <t>Vzduchotechnika</t>
  </si>
  <si>
    <t xml:space="preserve">D+M Podtlakový ventilátor, včetně přívodu el. </t>
  </si>
  <si>
    <t>DÍL: 771</t>
  </si>
  <si>
    <t>Podlahy z dlaždic</t>
  </si>
  <si>
    <t>Kladení dlažby keramické do tmele, 60 x 60 cm</t>
  </si>
  <si>
    <r>
      <t>m.č. 129 = 1.334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</si>
  <si>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t>m.č. 130 = 3.488 m2</t>
  </si>
  <si>
    <t>Keramická dlažba tl. 10 mm, 600 x 600 mm</t>
  </si>
  <si>
    <t>Keramická dlažba, protiskluzová tl. 10 mm, 600 x 600 mm</t>
  </si>
  <si>
    <r>
      <t>prořez +10 % = 3.488*1.1 = 3.837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</si>
  <si>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t>DÍL: 711</t>
  </si>
  <si>
    <t>Izolace proti vodě</t>
  </si>
  <si>
    <t>Hydroizolační povlak - nátěr nebo stěrka</t>
  </si>
  <si>
    <t>Hydroizolační povlak pod keramickou dlažbu/obklad</t>
  </si>
  <si>
    <t>Demontáž dveřních křídel, jednokřídlových 900/1970</t>
  </si>
  <si>
    <t>Budova A - 4 ks</t>
  </si>
  <si>
    <t>Budova C - 4 ks</t>
  </si>
  <si>
    <t>Demontáž dřezu včetně stojánkové baterie a zápachové uzávěry</t>
  </si>
  <si>
    <t>D+M umyvadla včetně příslušenství</t>
  </si>
  <si>
    <t xml:space="preserve">D+M umyvadla včetně stojánkové baterie, zápachové uzávěry a připojovacích armatur v místnosti A.202, A.203, A.204, A.205 </t>
  </si>
  <si>
    <t>D+M dřezu včetně příslušenství</t>
  </si>
  <si>
    <t>D+M dřezu včetně stojánkové baterie, zápachové uzávěry a připojovacích armatur v místnosti C.107</t>
  </si>
  <si>
    <t>Demontáž veškerých rozvodů vnitřního vodovodu včetně připojovacích armatur v místnosti č. A.202, A.203, A.204, A.205, C.107</t>
  </si>
  <si>
    <t>Vnitřní vodovod z materiálu PPR (polypropylen) v místnosti č. A.202, A.203, A.204, A.205, C.107</t>
  </si>
  <si>
    <t>m.č. A.202 = 52.45</t>
  </si>
  <si>
    <t>m.č. A.203 = 13.12</t>
  </si>
  <si>
    <t>m.č. A.204 = 27.49</t>
  </si>
  <si>
    <t>m.č. A.205 = 54.79</t>
  </si>
  <si>
    <t>m.č. C.106 = 12.29</t>
  </si>
  <si>
    <t>m.č. C.107 = 64.35</t>
  </si>
  <si>
    <t>Výpočet: m.č. A.202, A.203, A.204, A.205, C.106, C.107</t>
  </si>
  <si>
    <t>m.č. A.202 = 97.87</t>
  </si>
  <si>
    <t>m.č. A.203 = 53.03</t>
  </si>
  <si>
    <t>m.č. A.204 = 68.24</t>
  </si>
  <si>
    <t>m.č. A.205 = 95.49</t>
  </si>
  <si>
    <t>m.č. C.106 = 43.37</t>
  </si>
  <si>
    <t>m.č. C.107 = 92.72</t>
  </si>
  <si>
    <r>
      <t>m.č. A.202 = 52.45 + 97.87 = 150.32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</si>
  <si>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r>
      <t>m.č. A.203 = 13.12 + 53.03 = 66.15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</si>
  <si>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r>
      <t>m.č. A.204 = 27.49 + 68.24 = 95.73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</si>
  <si>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r>
      <t>m.č. A.205 = 54.79 + 95.49 = 150.28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</si>
  <si>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r>
      <t>m.č. C.106 = 12.29 + 43.37 = 55.66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</si>
  <si>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r>
      <t>m.č. C.107 = 64.35 + 92.72 = 157.07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</si>
  <si>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r>
      <t>m.č. A.202 = 1.0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</si>
  <si>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r>
      <t>m.č. A.203 = 1.0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</si>
  <si>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r>
      <t>m.č. A.204 = 1.0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</si>
  <si>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r>
      <t>m.č. A.205 = 1.0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</si>
  <si>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r>
      <t>prořez +10 % = 4*1.1 = 4.4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</si>
  <si>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t>Budova A = 52.45+13.12+27.49+54.79</t>
  </si>
  <si>
    <t>Budova C = 12.29+64.35</t>
  </si>
  <si>
    <t xml:space="preserve">mb </t>
  </si>
  <si>
    <t>Budova A = 31.62+16.56+21.66+30.9</t>
  </si>
  <si>
    <t>Budova C = 15.9+34.24</t>
  </si>
  <si>
    <r>
      <t>prořez +5 % = 224.49*1.05 = 235.72 m</t>
    </r>
    <r>
      <rPr>
        <i/>
        <vertAlign val="superscript"/>
        <sz val="11"/>
        <color rgb="FF00B050"/>
        <rFont val="Calibri"/>
        <family val="2"/>
        <charset val="238"/>
        <scheme val="minor"/>
      </rPr>
      <t>2</t>
    </r>
  </si>
  <si>
    <t>DÍL: 735</t>
  </si>
  <si>
    <t>Otopná tělesa</t>
  </si>
  <si>
    <t xml:space="preserve">Demontáž stávající ocelových otopných těles délky do 1 m. </t>
  </si>
  <si>
    <t>m.č. C.106 = 1</t>
  </si>
  <si>
    <t>m.č. C.107 = 2</t>
  </si>
  <si>
    <t>D+M deskové otopné těleso, boční připojení</t>
  </si>
  <si>
    <t>2.NP - 9 ks</t>
  </si>
  <si>
    <t>Obezdění splachovací nádržky pórobetonovými tvárnicemi Ytong</t>
  </si>
  <si>
    <t>Demontáž veškerých rozvodů vnitřního vodovodu včetně připojovacích armatur</t>
  </si>
  <si>
    <t>Vnitřní vodovod z materiálu PPR (polypropylen)</t>
  </si>
  <si>
    <t>Demontáž WC včetně splachovací nádrže</t>
  </si>
  <si>
    <t xml:space="preserve">Demontáž stávajících podtlakových ventilátorů, včetně přívodu el. </t>
  </si>
  <si>
    <t>Lepení ker. soklíků v. 100 mm, tl. 10 mm, do tmele, včetně materiálu</t>
  </si>
  <si>
    <t>1.NP = 6.55+6.55</t>
  </si>
  <si>
    <t>2.NP = 6.1+6.9</t>
  </si>
  <si>
    <t>DÍL: 767</t>
  </si>
  <si>
    <t xml:space="preserve">Konstrukce zámečnické </t>
  </si>
  <si>
    <t xml:space="preserve">Demontáž stávajícího zábradlí na schodišti </t>
  </si>
  <si>
    <t>D+M oc. zábradlí na schodišti, typ dle výběru investora</t>
  </si>
  <si>
    <t>REKAPITULACE STAVEBNÍCH DÍLŮ</t>
  </si>
  <si>
    <t>STAVEBNÍ DÍL</t>
  </si>
  <si>
    <t>CELKEM ZA OBJEKT</t>
  </si>
  <si>
    <t>Za zhotovitele</t>
  </si>
  <si>
    <t>Za objednatele</t>
  </si>
  <si>
    <t xml:space="preserve"> </t>
  </si>
  <si>
    <t xml:space="preserve">Montáž dveří jednokřídlových </t>
  </si>
  <si>
    <t>Dveře vnitřní, hladké, jednokřídlové, 600 x 1970</t>
  </si>
  <si>
    <t>1.NP - 4 ks</t>
  </si>
  <si>
    <t>Dveře vnitřní, hladké, jednokřídlové, 700 x 1970</t>
  </si>
  <si>
    <t>Dveře vnitřní, hladké, jednokřídlové, 900 x 1970</t>
  </si>
  <si>
    <t>1.NP - 9 ks</t>
  </si>
  <si>
    <t>2.NP - 3 ks</t>
  </si>
  <si>
    <t>Dveře vnitřní, hladké, jednokřídlové, 800 x 1970</t>
  </si>
  <si>
    <t>2.NP - 2 ks</t>
  </si>
  <si>
    <t>2.NP - 1 ks</t>
  </si>
  <si>
    <t xml:space="preserve">Montáž dveří dvoukřídlových </t>
  </si>
  <si>
    <t>Dveře vnitřní, hladké, dvoukřídlové, 1800 x 1970</t>
  </si>
  <si>
    <t>Cena bez DPH [Kč]</t>
  </si>
  <si>
    <t>DÍL: 99</t>
  </si>
  <si>
    <t>Přesun hmot pro budovy zděné, výšky do 6 m</t>
  </si>
  <si>
    <t>Přesun hmot HSV</t>
  </si>
  <si>
    <t>Přesun hmot pro izolace proti vodě</t>
  </si>
  <si>
    <t xml:space="preserve">Přesun hmot pro vnitřní kanalizace </t>
  </si>
  <si>
    <t>Přesun hmot pro vnitřní vodovod</t>
  </si>
  <si>
    <t>Přesun hmot pro zařizovací předměty</t>
  </si>
  <si>
    <t>Přesun hmot pro vzduchotechniku</t>
  </si>
  <si>
    <t>Přesun hmot pro konstrukce truhlářské</t>
  </si>
  <si>
    <t>Přesun hmot pro podlahy z dlaždic</t>
  </si>
  <si>
    <t>Přesun hmot pro podlahy povlakové</t>
  </si>
  <si>
    <t xml:space="preserve">Přesun hmot pro obklady </t>
  </si>
  <si>
    <t>Přesun hmot pro malby</t>
  </si>
  <si>
    <t>Přesun hmot pro elektroinstalace</t>
  </si>
  <si>
    <t>Přesun hmot pro otopná tělesa</t>
  </si>
  <si>
    <t xml:space="preserve">Přesun hmot pro konstrukce truhlářské </t>
  </si>
  <si>
    <t xml:space="preserve">Přesun hmot pro konstrukce zámečnické </t>
  </si>
  <si>
    <t>D+M WC včetně splachovací nádrže určené pro obezdění</t>
  </si>
  <si>
    <t>D+M WC klozetu včetně splachovací nádržky určené k obezdění, včetně splachovacího tlačítka a sedacího prkýnka</t>
  </si>
  <si>
    <t>D+M WC pro imobilní včetně splachovací nádrže určené pro obezdění</t>
  </si>
  <si>
    <t>D+M WC klozetu pro imobilní včetně splachovací nádržky určené k obezdění, včetně splachovacího tlačítka a sedacího prkýnka v místnosti č. 130.</t>
  </si>
  <si>
    <t>Omyvatelný nátěr stěn, v. 1.5 m</t>
  </si>
  <si>
    <t>schodiště</t>
  </si>
  <si>
    <t>chodba 1.NP</t>
  </si>
  <si>
    <t>chodba 2.NP</t>
  </si>
  <si>
    <t>Stavební úpravy objektu č. p. 666, ul. Školní v Luhačovicích 
Stavební úpravy objektu č. p. 811, ul. Školní v Luhačovicích</t>
  </si>
  <si>
    <t xml:space="preserve">1. Stavební úpravy objektu č.p. 811 - vybourání otvoru </t>
  </si>
  <si>
    <t>CHODBY, WC 1.NP = 4.425+46.07+2.68+0.947+0.948+2.68+0.948+0.947+11.65</t>
  </si>
  <si>
    <t>CHODBY, WC 2.NP = 3.582+26.9+2.7+3.75+2.22+1.305+1.233+4.35+2.96+1.08+1.02</t>
  </si>
  <si>
    <t>CHODBY, WC_1.NP = 23.353+154.834+17.336+11.744+11.744+17.546+11.744+11.744+64.67</t>
  </si>
  <si>
    <t>CHODBY, WC_1.NP (-obklady) =-(1.47+3.9+4.92+4.905+4.92+4.905)</t>
  </si>
  <si>
    <t>CHODBY, WC _2.NP = 14.386+97.703+18+22.135+13.585+12.395+12.1+23.04+15.945+10.92+10.625</t>
  </si>
  <si>
    <t>CHODBY, WC_2.NP = (-obklady) =-(12.39+7.35+8.4+8.19+8.55+7.35+7.035)</t>
  </si>
  <si>
    <t>CHODBY,WC 1.NP (stropy) = 4.425+40.74+2.68+0.947+0.948+2.68+0.948+0.947+11.65</t>
  </si>
  <si>
    <t>CHODBY,WC 1.NP (stěny) = 23.353+132.719+17.336+11.744+11.744+17.546+11.744+11.744+64.67</t>
  </si>
  <si>
    <t>CHODBY,WC 2.NP (stropy) = 3.582+26.9+2.7+3.75+2.22+1.305+1.233+4.35+2.96+1.08+1.02</t>
  </si>
  <si>
    <t>CHODBY,WC 2.NP (stěny) = 14.386+97.703+18+22.135+13.585+12.395+12.1+23.04+15.945+10.92+10.625</t>
  </si>
  <si>
    <t>CHODBY, WC 1.NP (stropy) = 4.425+40.74+2.68+0.947+0.948+2.68+0.948+0.947+11.65</t>
  </si>
  <si>
    <t>CHODBY, WC 1.NP (stěny) = 23.353+132.719+17.336+11.744+11.744+17.546+11.744+11.744+64.67</t>
  </si>
  <si>
    <t>CHODBY, WC 2.NP (stropy) = 3.582+26.9+2.7+3.75+2.22+1.305+1.233+4.35+2.96+1.08+1.02</t>
  </si>
  <si>
    <t>CHODBY, WC 2.NP (stěny) = 14.386+97.703+18+22.135+13.585+12.395+12.1+23.04+15.945+10.92+10.625</t>
  </si>
  <si>
    <t>CHODBY,WC 1.NP (-obklady) =-(1.47+4.05+6.825+6.825+6.825+6.825)</t>
  </si>
  <si>
    <t>CHODBY,WC 2.NP (-obklady) =-(12.39+7.35+8.4+8.19+8.55+7.35+7.035)</t>
  </si>
  <si>
    <t>CHODBY,WC 1.NP = 4.425+40.74+2.68+0.947+0.948+2.68+0.948+0.947+11.65</t>
  </si>
  <si>
    <t>CHODBY, WC 1.NP = 4.425+40.74+2.68+0.947+0.948+2.68+0.948+0.947+11.65</t>
  </si>
  <si>
    <t>CHODBY,WC 1.NP = 4.425+40.74</t>
  </si>
  <si>
    <t>CHODBY, WC 2.NP = 26.9</t>
  </si>
  <si>
    <t>CHODBY, WC 1.NP = 6</t>
  </si>
  <si>
    <t>CHODBY, WC 2.NP = 9</t>
  </si>
  <si>
    <t>WC 2.NP =2.7+3.75+2.22+1.305+1.233+4.35+2.96+1.08+1.02</t>
  </si>
  <si>
    <t>WC 1.NP =2.68+0.947+0.948+2.68+0.948+0.947</t>
  </si>
  <si>
    <t>CHODBY, WC 1.NP = 4</t>
  </si>
  <si>
    <t>CHODBY, WC 2.NP = 5</t>
  </si>
  <si>
    <t>D+M ventilátoru pro podtlakové větrání včetně potrubí vyvedeného na fasádu objektu.</t>
  </si>
  <si>
    <t>Demontáž dveřních křídel, jednokřídlových 600/1970, 700/1970, 800/1970, 900/1970</t>
  </si>
  <si>
    <t>WC_1.NP - 6 ks</t>
  </si>
  <si>
    <t>WC_2.NP - 9 ks</t>
  </si>
  <si>
    <t>WC_1.NP - 1 ks</t>
  </si>
  <si>
    <t>1.NP - 5 ks</t>
  </si>
  <si>
    <t>WC 1.NP = 2.68+0.947+0.948+2.68+0.948+0.947</t>
  </si>
  <si>
    <t>WC 2.NP = 2.7+3.75+2.22+1.305+1.233+4.35+2.96+1.08+1.02</t>
  </si>
  <si>
    <t>prořez +10 % = 31.1*1.1</t>
  </si>
  <si>
    <t>CHODBY 1.NP =4.425+46.07</t>
  </si>
  <si>
    <t>CHODBY 2.NP =26.9</t>
  </si>
  <si>
    <t>CHODBY 1.NP =8.9+53.7</t>
  </si>
  <si>
    <t>CHODBY 2.NP =33.9</t>
  </si>
  <si>
    <t>CHODBY 1.NP =4.425+40.74</t>
  </si>
  <si>
    <t>prořez +5 % = 474.73*1.05</t>
  </si>
  <si>
    <t>CHODBY 1.NP =8.9+45.59</t>
  </si>
  <si>
    <t>CHODBY, WC 1.NP = 1.47+3.9+4.92+4.905+4.92+4.905</t>
  </si>
  <si>
    <t>CHODBY, WC 2.NP = 12.39+7.35+8.4+8.19+8.55+7.35+7.035</t>
  </si>
  <si>
    <t>CHODBY, WC 1.NP = 1.47+4.05+4*6.825</t>
  </si>
  <si>
    <t>prořez +5 % = 114.35*1.05</t>
  </si>
  <si>
    <t>CHODBY, WC 1.NP (stropy) = 4.425+46.07+2.68+0.947+0.948+2.68+0.948+0.947+11.65</t>
  </si>
  <si>
    <t>CHODBY, WC 1.NP (stěny) = 23.353+154.834+17.336+11.744+11.744+17.546+11.744+11.744+64.67</t>
  </si>
  <si>
    <t>CHODBY, WC 1.NP (-obklady) =-(1.47+3.9+4.92+4.905+4.92+4.905)</t>
  </si>
  <si>
    <t>CHODBY, WC 2.NP (-obklady) =-(12.39+7.35+8.4+8.19+8.55+7.35+7.035)</t>
  </si>
  <si>
    <t>CHODBY, WC 1.NP (-obklady) =-(1.47+4.05+6.825+6.825+6.825+6.825+17)</t>
  </si>
  <si>
    <t>CENA CELKEM BEZ DPH</t>
  </si>
  <si>
    <t>Položkový rozpočet stavby</t>
  </si>
  <si>
    <t>Stavba:</t>
  </si>
  <si>
    <t>Objednatel:</t>
  </si>
  <si>
    <t>IČO:</t>
  </si>
  <si>
    <t>DIČ:</t>
  </si>
  <si>
    <t>Zhotovitel:</t>
  </si>
  <si>
    <t xml:space="preserve">763 26 </t>
  </si>
  <si>
    <t>Luhačovice</t>
  </si>
  <si>
    <t>Vypracoval:</t>
  </si>
  <si>
    <t>Rozpis ceny</t>
  </si>
  <si>
    <t>Celkem</t>
  </si>
  <si>
    <t>Rekapitulace daní</t>
  </si>
  <si>
    <t>Základ pro sníženou DPH</t>
  </si>
  <si>
    <t>%</t>
  </si>
  <si>
    <t xml:space="preserve">Snížená DPH </t>
  </si>
  <si>
    <t>Základ pro základní DPH</t>
  </si>
  <si>
    <t xml:space="preserve">Základní DPH </t>
  </si>
  <si>
    <t>Zaokrouhlení</t>
  </si>
  <si>
    <t>Cena celkem bez DPH</t>
  </si>
  <si>
    <t>Cena celkem s DPH</t>
  </si>
  <si>
    <t>v</t>
  </si>
  <si>
    <t>dne</t>
  </si>
  <si>
    <t>Město Luhačovice</t>
  </si>
  <si>
    <t>náměstí 28. října 543</t>
  </si>
  <si>
    <t>Lze doplňovat pouze pole zvýrazněné modrou barvou</t>
  </si>
  <si>
    <t>Demontáž stávajících rozvodů vnitřní kanalizace; včetně likvidace odpadu</t>
  </si>
  <si>
    <t xml:space="preserve">D+M umyvadla včetně stojánkové baterie, zápachové uzávěry a připojovacích armatur </t>
  </si>
  <si>
    <t>Demontáž stávajících elektroinstalací; včetně likvidace</t>
  </si>
  <si>
    <t>Montáž obkladu vnitřních stěn, keramický, do tmele, 60 x 30 cm</t>
  </si>
  <si>
    <t xml:space="preserve">Demontáž ocelových otopných těles, včetně likvidace </t>
  </si>
  <si>
    <t>3. Modernizace interiéru odborných učeben ZŠ Luhačovice</t>
  </si>
  <si>
    <t>2. Stavební úpravy objektu č.p. 811 - modernizace</t>
  </si>
  <si>
    <t>Město Luhačovice - Modernizace družin a učeben</t>
  </si>
  <si>
    <t>Množství materiálu a rozsah prací se může lišit v návaznosti na skutečný stav provedených prací. Stavební firma musí počítat s rezervou</t>
  </si>
  <si>
    <t>Celkem (Kč) bez DPH</t>
  </si>
  <si>
    <t>00284165</t>
  </si>
  <si>
    <t>IČ:</t>
  </si>
  <si>
    <t>Bc. Jan Buberník</t>
  </si>
  <si>
    <t>Hrazanská 613, 763 26 Luhačovice</t>
  </si>
  <si>
    <t>88774678</t>
  </si>
  <si>
    <t>VCP (6.0%)</t>
  </si>
  <si>
    <t>Intervence 044</t>
  </si>
  <si>
    <t xml:space="preserve">Kompletace elektroinstalací (zásuvky, vypínače apod.), vše dle výběru investora. </t>
  </si>
  <si>
    <t xml:space="preserve">D+M LED světelných zdrojů energetické třídy A+ a A++, dle výběru investora. </t>
  </si>
  <si>
    <t xml:space="preserve">Kompletace elektroinstalací (zásuvky, vypínače, svítidla LED apod.), vše dle výběru investora. </t>
  </si>
  <si>
    <t>D+M Svítidla LED ve společných prostorech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</si>
</sst>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[$Kč-405]"/>
    <numFmt numFmtId="165" formatCode="_-* #,##0.00\ [$Kč-405]_-;\-* #,##0.00\ [$Kč-405]_-;_-* &quot;-&quot;??\ [$Kč-405]_-;_-@_-"/>
    <numFmt numFmtId="166" formatCode="_-* #,##0.0\ [$Kč-405]_-;\-* #,##0.0\ [$Kč-405]_-;_-* &quot;-&quot;?\ [$Kč-405]_-;_-@_-"/>
    <numFmt numFmtId="167" formatCode="_-* #,##0\ [$Kč-405]_-;\-* #,##0\ [$Kč-405]_-;_-* &quot;-&quot;??\ [$Kč-405]_-;_-@_-"/>
  </numFmts>
  <fonts count="21" x14ac:knownFonts="1">
    <font>
      <sz val="11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u/>
      <sz val="16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i/>
      <sz val="11"/>
      <color rgb="FF0070C0"/>
      <name val="Calibri"/>
      <family val="2"/>
      <charset val="238"/>
      <scheme val="minor"/>
    </font>
    <font>
      <i/>
      <sz val="11"/>
      <color rgb="FF00B050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i/>
      <vertAlign val="superscript"/>
      <sz val="11"/>
      <color rgb="FF00B050"/>
      <name val="Calibri"/>
      <family val="2"/>
      <charset val="238"/>
      <scheme val="minor"/>
    </font>
    <font>
      <sz val="10"/>
      <name val="Arial CE"/>
      <charset val="238"/>
    </font>
    <font>
      <b/>
      <sz val="14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b/>
      <u/>
      <sz val="20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sz val="11"/>
      <color theme="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207">
    <xf numFmtId="0" fontId="0" fillId="0" borderId="0" xfId="0"/>
    <xf numFmtId="164" fontId="0" fillId="5" borderId="0" xfId="0" applyNumberFormat="1" applyFill="1" applyProtection="1">
      <protection locked="0"/>
    </xf>
    <xf numFmtId="164" fontId="2" fillId="3" borderId="4" xfId="0" applyNumberFormat="1" applyFont="1" applyFill="1" applyBorder="1" applyAlignment="1">
      <alignment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/>
    <xf numFmtId="0" fontId="0" fillId="4" borderId="6" xfId="0" applyFill="1" applyBorder="1" applyAlignment="1">
      <alignment horizontal="center" vertical="center"/>
    </xf>
    <xf numFmtId="2" fontId="0" fillId="4" borderId="6" xfId="0" applyNumberFormat="1" applyFill="1" applyBorder="1" applyAlignment="1">
      <alignment horizontal="right" vertical="center"/>
    </xf>
    <xf numFmtId="0" fontId="0" fillId="4" borderId="6" xfId="0" applyFill="1" applyBorder="1"/>
    <xf numFmtId="164" fontId="2" fillId="4" borderId="7" xfId="0" applyNumberFormat="1" applyFont="1" applyFill="1" applyBorder="1"/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right" vertical="center"/>
    </xf>
    <xf numFmtId="164" fontId="0" fillId="0" borderId="0" xfId="0" applyNumberFormat="1"/>
    <xf numFmtId="0" fontId="5" fillId="0" borderId="0" xfId="0" applyFont="1" applyAlignment="1">
      <alignment wrapText="1"/>
    </xf>
    <xf numFmtId="0" fontId="6" fillId="0" borderId="0" xfId="0" applyFont="1"/>
    <xf numFmtId="0" fontId="0" fillId="0" borderId="0" xfId="0" applyAlignment="1">
      <alignment wrapText="1"/>
    </xf>
    <xf numFmtId="164" fontId="2" fillId="6" borderId="4" xfId="0" applyNumberFormat="1" applyFont="1" applyFill="1" applyBorder="1" applyAlignment="1">
      <alignment vertical="center"/>
    </xf>
    <xf numFmtId="0" fontId="5" fillId="0" borderId="0" xfId="0" applyFont="1"/>
    <xf numFmtId="164" fontId="2" fillId="7" borderId="4" xfId="0" applyNumberFormat="1" applyFont="1" applyFill="1" applyBorder="1" applyAlignment="1">
      <alignment vertical="center"/>
    </xf>
    <xf numFmtId="0" fontId="0" fillId="3" borderId="0" xfId="0" applyFill="1"/>
    <xf numFmtId="0" fontId="0" fillId="6" borderId="0" xfId="0" applyFill="1"/>
    <xf numFmtId="0" fontId="0" fillId="7" borderId="0" xfId="0" applyFill="1"/>
    <xf numFmtId="0" fontId="0" fillId="0" borderId="0" xfId="0" applyAlignment="1">
      <alignment horizontal="left" vertical="center"/>
    </xf>
    <xf numFmtId="0" fontId="1" fillId="0" borderId="0" xfId="0" applyFont="1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164" fontId="12" fillId="7" borderId="1" xfId="0" applyNumberFormat="1" applyFont="1" applyFill="1" applyBorder="1"/>
    <xf numFmtId="0" fontId="2" fillId="3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11" fillId="0" borderId="1" xfId="0" applyNumberFormat="1" applyFont="1" applyBorder="1" applyAlignment="1">
      <alignment horizontal="right" vertical="center"/>
    </xf>
    <xf numFmtId="164" fontId="10" fillId="3" borderId="1" xfId="0" applyNumberFormat="1" applyFont="1" applyFill="1" applyBorder="1" applyAlignment="1">
      <alignment horizontal="right" vertical="center"/>
    </xf>
    <xf numFmtId="0" fontId="2" fillId="6" borderId="1" xfId="0" applyFont="1" applyFill="1" applyBorder="1" applyAlignment="1">
      <alignment horizontal="center" vertical="center"/>
    </xf>
    <xf numFmtId="164" fontId="10" fillId="6" borderId="1" xfId="0" applyNumberFormat="1" applyFont="1" applyFill="1" applyBorder="1" applyAlignment="1">
      <alignment horizontal="right" vertical="center"/>
    </xf>
    <xf numFmtId="0" fontId="2" fillId="9" borderId="1" xfId="0" applyFont="1" applyFill="1" applyBorder="1" applyAlignment="1">
      <alignment horizontal="center" vertical="center"/>
    </xf>
    <xf numFmtId="164" fontId="10" fillId="9" borderId="1" xfId="0" applyNumberFormat="1" applyFont="1" applyFill="1" applyBorder="1" applyAlignment="1">
      <alignment horizontal="right" vertical="center"/>
    </xf>
    <xf numFmtId="0" fontId="0" fillId="10" borderId="0" xfId="0" applyFill="1" applyProtection="1">
      <protection locked="0"/>
    </xf>
    <xf numFmtId="0" fontId="0" fillId="0" borderId="0" xfId="0" applyAlignment="1">
      <alignment horizontal="left"/>
    </xf>
    <xf numFmtId="0" fontId="15" fillId="0" borderId="0" xfId="0" applyFont="1"/>
    <xf numFmtId="166" fontId="15" fillId="0" borderId="0" xfId="0" applyNumberFormat="1" applyFont="1"/>
    <xf numFmtId="0" fontId="11" fillId="0" borderId="14" xfId="1" applyFont="1" applyBorder="1" applyAlignment="1">
      <alignment horizontal="left" vertical="center" indent="1"/>
    </xf>
    <xf numFmtId="0" fontId="11" fillId="0" borderId="0" xfId="1" applyFont="1" applyAlignment="1">
      <alignment wrapText="1"/>
    </xf>
    <xf numFmtId="0" fontId="11" fillId="0" borderId="0" xfId="1" applyFont="1" applyAlignment="1">
      <alignment horizontal="right" vertical="center"/>
    </xf>
    <xf numFmtId="0" fontId="11" fillId="0" borderId="16" xfId="1" applyFont="1" applyBorder="1"/>
    <xf numFmtId="0" fontId="20" fillId="0" borderId="14" xfId="1" applyFont="1" applyBorder="1" applyAlignment="1">
      <alignment horizontal="left" vertical="center" indent="1"/>
    </xf>
    <xf numFmtId="0" fontId="20" fillId="0" borderId="0" xfId="1" applyFont="1" applyAlignment="1">
      <alignment vertical="center" wrapText="1"/>
    </xf>
    <xf numFmtId="0" fontId="20" fillId="0" borderId="0" xfId="1" applyFont="1" applyAlignment="1">
      <alignment horizontal="left" vertical="center"/>
    </xf>
    <xf numFmtId="0" fontId="20" fillId="0" borderId="13" xfId="1" applyFont="1" applyBorder="1" applyAlignment="1">
      <alignment horizontal="left" vertical="center" indent="1"/>
    </xf>
    <xf numFmtId="0" fontId="20" fillId="0" borderId="9" xfId="1" applyFont="1" applyBorder="1" applyAlignment="1">
      <alignment horizontal="right" vertical="center" wrapText="1"/>
    </xf>
    <xf numFmtId="49" fontId="20" fillId="0" borderId="9" xfId="1" applyNumberFormat="1" applyFont="1" applyBorder="1" applyAlignment="1">
      <alignment horizontal="left" vertical="center" wrapText="1"/>
    </xf>
    <xf numFmtId="0" fontId="11" fillId="0" borderId="9" xfId="1" applyFont="1" applyBorder="1" applyAlignment="1">
      <alignment vertical="center"/>
    </xf>
    <xf numFmtId="0" fontId="20" fillId="0" borderId="9" xfId="1" applyFont="1" applyBorder="1" applyAlignment="1">
      <alignment vertical="center"/>
    </xf>
    <xf numFmtId="0" fontId="11" fillId="0" borderId="25" xfId="1" applyFont="1" applyBorder="1"/>
    <xf numFmtId="0" fontId="11" fillId="0" borderId="0" xfId="1" applyFont="1"/>
    <xf numFmtId="49" fontId="20" fillId="0" borderId="0" xfId="1" applyNumberFormat="1" applyFont="1" applyAlignment="1">
      <alignment horizontal="left" vertical="center"/>
    </xf>
    <xf numFmtId="0" fontId="11" fillId="0" borderId="14" xfId="1" applyFont="1" applyBorder="1"/>
    <xf numFmtId="0" fontId="11" fillId="0" borderId="13" xfId="1" applyFont="1" applyBorder="1" applyAlignment="1">
      <alignment horizontal="left" indent="1"/>
    </xf>
    <xf numFmtId="49" fontId="11" fillId="0" borderId="9" xfId="1" applyNumberFormat="1" applyFont="1" applyBorder="1" applyAlignment="1">
      <alignment vertical="center" wrapText="1"/>
    </xf>
    <xf numFmtId="0" fontId="11" fillId="0" borderId="9" xfId="1" applyFont="1" applyBorder="1"/>
    <xf numFmtId="0" fontId="11" fillId="0" borderId="9" xfId="1" applyFont="1" applyBorder="1" applyAlignment="1">
      <alignment horizontal="right"/>
    </xf>
    <xf numFmtId="49" fontId="20" fillId="5" borderId="0" xfId="1" applyNumberFormat="1" applyFont="1" applyFill="1" applyAlignment="1" applyProtection="1">
      <alignment horizontal="left" vertical="center"/>
      <protection locked="0"/>
    </xf>
    <xf numFmtId="0" fontId="20" fillId="5" borderId="0" xfId="1" applyFont="1" applyFill="1" applyAlignment="1" applyProtection="1">
      <alignment horizontal="left" vertical="center"/>
      <protection locked="0"/>
    </xf>
    <xf numFmtId="0" fontId="20" fillId="5" borderId="9" xfId="1" applyFont="1" applyFill="1" applyBorder="1" applyAlignment="1" applyProtection="1">
      <alignment horizontal="left" vertical="center" wrapText="1"/>
      <protection locked="0"/>
    </xf>
    <xf numFmtId="0" fontId="11" fillId="0" borderId="9" xfId="1" applyFont="1" applyBorder="1" applyAlignment="1">
      <alignment horizontal="right" vertical="center"/>
    </xf>
    <xf numFmtId="0" fontId="11" fillId="0" borderId="18" xfId="1" applyFont="1" applyBorder="1" applyAlignment="1">
      <alignment horizontal="left" vertical="top" indent="1"/>
    </xf>
    <xf numFmtId="0" fontId="11" fillId="0" borderId="8" xfId="1" applyFont="1" applyBorder="1" applyAlignment="1">
      <alignment vertical="top" wrapText="1"/>
    </xf>
    <xf numFmtId="0" fontId="20" fillId="0" borderId="8" xfId="1" applyFont="1" applyBorder="1" applyAlignment="1">
      <alignment horizontal="left" vertical="top" wrapText="1"/>
    </xf>
    <xf numFmtId="0" fontId="20" fillId="0" borderId="8" xfId="1" applyFont="1" applyBorder="1" applyAlignment="1">
      <alignment vertical="center" wrapText="1"/>
    </xf>
    <xf numFmtId="0" fontId="20" fillId="0" borderId="8" xfId="1" applyFont="1" applyBorder="1" applyAlignment="1">
      <alignment vertical="center"/>
    </xf>
    <xf numFmtId="0" fontId="11" fillId="0" borderId="8" xfId="1" applyFont="1" applyBorder="1" applyAlignment="1">
      <alignment horizontal="right" vertical="center"/>
    </xf>
    <xf numFmtId="0" fontId="11" fillId="0" borderId="24" xfId="1" applyFont="1" applyBorder="1"/>
    <xf numFmtId="0" fontId="11" fillId="0" borderId="9" xfId="1" applyFont="1" applyBorder="1" applyAlignment="1">
      <alignment horizontal="left" wrapText="1"/>
    </xf>
    <xf numFmtId="0" fontId="11" fillId="0" borderId="9" xfId="1" applyFont="1" applyBorder="1" applyAlignment="1">
      <alignment wrapText="1"/>
    </xf>
    <xf numFmtId="0" fontId="11" fillId="0" borderId="12" xfId="1" applyFont="1" applyBorder="1" applyAlignment="1">
      <alignment horizontal="left" indent="1"/>
    </xf>
    <xf numFmtId="0" fontId="11" fillId="0" borderId="6" xfId="1" applyFont="1" applyBorder="1" applyAlignment="1">
      <alignment horizontal="left" vertical="center" wrapText="1"/>
    </xf>
    <xf numFmtId="0" fontId="11" fillId="0" borderId="6" xfId="1" applyFont="1" applyBorder="1" applyAlignment="1">
      <alignment wrapText="1"/>
    </xf>
    <xf numFmtId="1" fontId="20" fillId="0" borderId="6" xfId="1" applyNumberFormat="1" applyFont="1" applyBorder="1" applyAlignment="1">
      <alignment horizontal="right" vertical="center" wrapText="1"/>
    </xf>
    <xf numFmtId="0" fontId="11" fillId="0" borderId="6" xfId="1" applyFont="1" applyBorder="1" applyAlignment="1">
      <alignment horizontal="left" vertical="center" indent="1"/>
    </xf>
    <xf numFmtId="0" fontId="20" fillId="0" borderId="6" xfId="1" applyFont="1" applyBorder="1" applyAlignment="1">
      <alignment vertical="center"/>
    </xf>
    <xf numFmtId="49" fontId="11" fillId="0" borderId="19" xfId="1" applyNumberFormat="1" applyFont="1" applyBorder="1" applyAlignment="1">
      <alignment horizontal="left" vertical="center"/>
    </xf>
    <xf numFmtId="0" fontId="11" fillId="0" borderId="12" xfId="1" applyFont="1" applyBorder="1" applyAlignment="1">
      <alignment horizontal="left" vertical="center" indent="1"/>
    </xf>
    <xf numFmtId="1" fontId="20" fillId="0" borderId="5" xfId="1" applyNumberFormat="1" applyFont="1" applyBorder="1" applyAlignment="1">
      <alignment horizontal="right" vertical="center" wrapText="1"/>
    </xf>
    <xf numFmtId="1" fontId="20" fillId="0" borderId="17" xfId="1" applyNumberFormat="1" applyFont="1" applyBorder="1" applyAlignment="1">
      <alignment horizontal="right" vertical="center" wrapText="1"/>
    </xf>
    <xf numFmtId="0" fontId="11" fillId="0" borderId="13" xfId="1" applyFont="1" applyBorder="1" applyAlignment="1">
      <alignment horizontal="left" vertical="center" indent="1"/>
    </xf>
    <xf numFmtId="0" fontId="11" fillId="0" borderId="9" xfId="1" applyFont="1" applyBorder="1" applyAlignment="1">
      <alignment horizontal="left" vertical="center" wrapText="1"/>
    </xf>
    <xf numFmtId="0" fontId="11" fillId="0" borderId="9" xfId="1" applyFont="1" applyBorder="1" applyAlignment="1">
      <alignment horizontal="left" vertical="center" indent="1"/>
    </xf>
    <xf numFmtId="49" fontId="11" fillId="0" borderId="25" xfId="1" applyNumberFormat="1" applyFont="1" applyBorder="1" applyAlignment="1">
      <alignment horizontal="left" vertical="center"/>
    </xf>
    <xf numFmtId="0" fontId="11" fillId="0" borderId="0" xfId="1" applyFont="1" applyAlignment="1">
      <alignment horizontal="left" vertical="center" wrapText="1"/>
    </xf>
    <xf numFmtId="1" fontId="11" fillId="0" borderId="0" xfId="1" applyNumberFormat="1" applyFont="1" applyAlignment="1">
      <alignment horizontal="left" vertical="center" wrapText="1"/>
    </xf>
    <xf numFmtId="4" fontId="11" fillId="0" borderId="0" xfId="1" applyNumberFormat="1" applyFont="1" applyAlignment="1">
      <alignment horizontal="left" vertical="center"/>
    </xf>
    <xf numFmtId="49" fontId="11" fillId="0" borderId="16" xfId="1" applyNumberFormat="1" applyFont="1" applyBorder="1" applyAlignment="1">
      <alignment horizontal="left" vertical="center"/>
    </xf>
    <xf numFmtId="0" fontId="11" fillId="0" borderId="16" xfId="1" applyFont="1" applyBorder="1" applyAlignment="1">
      <alignment horizontal="right"/>
    </xf>
    <xf numFmtId="0" fontId="11" fillId="0" borderId="14" xfId="1" applyFont="1" applyBorder="1" applyAlignment="1">
      <alignment horizontal="right"/>
    </xf>
    <xf numFmtId="0" fontId="11" fillId="0" borderId="0" xfId="1" applyFont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20" fillId="0" borderId="14" xfId="1" applyFont="1" applyBorder="1"/>
    <xf numFmtId="0" fontId="20" fillId="0" borderId="0" xfId="1" applyFont="1" applyAlignment="1">
      <alignment wrapText="1"/>
    </xf>
    <xf numFmtId="0" fontId="20" fillId="0" borderId="0" xfId="1" applyFont="1"/>
    <xf numFmtId="0" fontId="20" fillId="0" borderId="16" xfId="1" applyFont="1" applyBorder="1" applyAlignment="1">
      <alignment horizontal="right"/>
    </xf>
    <xf numFmtId="0" fontId="11" fillId="0" borderId="0" xfId="1" applyFont="1" applyAlignment="1">
      <alignment horizontal="center"/>
    </xf>
    <xf numFmtId="0" fontId="11" fillId="0" borderId="26" xfId="1" applyFont="1" applyBorder="1"/>
    <xf numFmtId="0" fontId="11" fillId="0" borderId="20" xfId="1" applyFont="1" applyBorder="1" applyAlignment="1">
      <alignment wrapText="1"/>
    </xf>
    <xf numFmtId="0" fontId="11" fillId="0" borderId="20" xfId="1" applyFont="1" applyBorder="1"/>
    <xf numFmtId="0" fontId="11" fillId="0" borderId="27" xfId="1" applyFont="1" applyBorder="1" applyAlignment="1">
      <alignment horizontal="right"/>
    </xf>
    <xf numFmtId="0" fontId="16" fillId="2" borderId="14" xfId="1" applyFont="1" applyFill="1" applyBorder="1" applyAlignment="1">
      <alignment horizontal="left" vertical="center" indent="1"/>
    </xf>
    <xf numFmtId="0" fontId="17" fillId="2" borderId="0" xfId="1" applyFont="1" applyFill="1" applyAlignment="1">
      <alignment wrapText="1"/>
    </xf>
    <xf numFmtId="0" fontId="17" fillId="2" borderId="14" xfId="1" applyFont="1" applyFill="1" applyBorder="1" applyAlignment="1">
      <alignment horizontal="left" vertical="center" indent="1"/>
    </xf>
    <xf numFmtId="0" fontId="19" fillId="2" borderId="0" xfId="1" applyFont="1" applyFill="1" applyAlignment="1">
      <alignment horizontal="left" vertical="center" wrapText="1"/>
    </xf>
    <xf numFmtId="0" fontId="17" fillId="2" borderId="13" xfId="1" applyFont="1" applyFill="1" applyBorder="1" applyAlignment="1">
      <alignment horizontal="left" vertical="center" indent="1"/>
    </xf>
    <xf numFmtId="0" fontId="17" fillId="2" borderId="9" xfId="1" applyFont="1" applyFill="1" applyBorder="1" applyAlignment="1">
      <alignment wrapText="1"/>
    </xf>
    <xf numFmtId="0" fontId="19" fillId="2" borderId="9" xfId="1" applyFont="1" applyFill="1" applyBorder="1" applyAlignment="1">
      <alignment horizontal="left" vertical="center" wrapText="1"/>
    </xf>
    <xf numFmtId="0" fontId="20" fillId="2" borderId="2" xfId="1" applyFont="1" applyFill="1" applyBorder="1" applyAlignment="1">
      <alignment horizontal="left" vertical="center" indent="1"/>
    </xf>
    <xf numFmtId="0" fontId="20" fillId="2" borderId="3" xfId="1" applyFont="1" applyFill="1" applyBorder="1" applyAlignment="1">
      <alignment horizontal="left" vertical="center" wrapText="1"/>
    </xf>
    <xf numFmtId="0" fontId="11" fillId="2" borderId="3" xfId="1" applyFont="1" applyFill="1" applyBorder="1" applyAlignment="1">
      <alignment horizontal="left" vertical="center" wrapText="1"/>
    </xf>
    <xf numFmtId="4" fontId="20" fillId="2" borderId="3" xfId="1" applyNumberFormat="1" applyFont="1" applyFill="1" applyBorder="1" applyAlignment="1">
      <alignment horizontal="left" vertical="center"/>
    </xf>
    <xf numFmtId="49" fontId="11" fillId="2" borderId="4" xfId="1" applyNumberFormat="1" applyFont="1" applyFill="1" applyBorder="1" applyAlignment="1">
      <alignment horizontal="left" vertical="center"/>
    </xf>
    <xf numFmtId="0" fontId="11" fillId="2" borderId="3" xfId="1" applyFont="1" applyFill="1" applyBorder="1" applyAlignment="1">
      <alignment wrapText="1"/>
    </xf>
    <xf numFmtId="0" fontId="11" fillId="2" borderId="3" xfId="1" applyFont="1" applyFill="1" applyBorder="1"/>
    <xf numFmtId="49" fontId="20" fillId="2" borderId="4" xfId="1" applyNumberFormat="1" applyFont="1" applyFill="1" applyBorder="1" applyAlignment="1">
      <alignment horizontal="left" vertical="center"/>
    </xf>
    <xf numFmtId="0" fontId="0" fillId="5" borderId="0" xfId="0" applyFill="1"/>
    <xf numFmtId="49" fontId="18" fillId="2" borderId="0" xfId="1" applyNumberFormat="1" applyFont="1" applyFill="1" applyAlignment="1">
      <alignment horizontal="left" vertical="center"/>
    </xf>
    <xf numFmtId="0" fontId="17" fillId="2" borderId="8" xfId="1" applyFont="1" applyFill="1" applyBorder="1"/>
    <xf numFmtId="0" fontId="17" fillId="2" borderId="24" xfId="1" applyFont="1" applyFill="1" applyBorder="1"/>
    <xf numFmtId="49" fontId="18" fillId="2" borderId="8" xfId="1" applyNumberFormat="1" applyFont="1" applyFill="1" applyBorder="1" applyAlignment="1">
      <alignment vertical="center"/>
    </xf>
    <xf numFmtId="164" fontId="0" fillId="4" borderId="6" xfId="0" applyNumberFormat="1" applyFill="1" applyBorder="1"/>
    <xf numFmtId="0" fontId="2" fillId="2" borderId="23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/>
    </xf>
    <xf numFmtId="2" fontId="2" fillId="2" borderId="2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167" fontId="2" fillId="2" borderId="4" xfId="0" applyNumberFormat="1" applyFont="1" applyFill="1" applyBorder="1" applyAlignment="1">
      <alignment horizontal="center" vertical="center" wrapText="1"/>
    </xf>
    <xf numFmtId="0" fontId="0" fillId="11" borderId="0" xfId="0" applyFill="1"/>
    <xf numFmtId="167" fontId="20" fillId="2" borderId="3" xfId="1" applyNumberFormat="1" applyFont="1" applyFill="1" applyBorder="1" applyAlignment="1">
      <alignment horizontal="right" vertical="center"/>
    </xf>
    <xf numFmtId="0" fontId="20" fillId="0" borderId="9" xfId="1" applyFont="1" applyBorder="1" applyAlignment="1">
      <alignment horizontal="center" vertical="center" wrapText="1"/>
    </xf>
    <xf numFmtId="0" fontId="11" fillId="0" borderId="9" xfId="1" applyFont="1" applyBorder="1" applyAlignment="1">
      <alignment horizontal="center" vertical="center" wrapText="1"/>
    </xf>
    <xf numFmtId="0" fontId="20" fillId="0" borderId="9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1" fillId="0" borderId="8" xfId="1" applyFont="1" applyBorder="1" applyAlignment="1">
      <alignment horizontal="center" wrapText="1"/>
    </xf>
    <xf numFmtId="165" fontId="20" fillId="0" borderId="5" xfId="1" applyNumberFormat="1" applyFont="1" applyBorder="1" applyAlignment="1">
      <alignment vertical="center"/>
    </xf>
    <xf numFmtId="165" fontId="20" fillId="0" borderId="6" xfId="1" applyNumberFormat="1" applyFont="1" applyBorder="1" applyAlignment="1">
      <alignment vertical="center"/>
    </xf>
    <xf numFmtId="165" fontId="20" fillId="0" borderId="5" xfId="1" applyNumberFormat="1" applyFont="1" applyBorder="1" applyAlignment="1">
      <alignment horizontal="right" vertical="center"/>
    </xf>
    <xf numFmtId="165" fontId="20" fillId="0" borderId="6" xfId="1" applyNumberFormat="1" applyFont="1" applyBorder="1" applyAlignment="1">
      <alignment horizontal="right" vertical="center"/>
    </xf>
    <xf numFmtId="167" fontId="20" fillId="0" borderId="5" xfId="1" applyNumberFormat="1" applyFont="1" applyBorder="1" applyAlignment="1">
      <alignment vertical="center"/>
    </xf>
    <xf numFmtId="167" fontId="20" fillId="0" borderId="6" xfId="1" applyNumberFormat="1" applyFont="1" applyBorder="1" applyAlignment="1">
      <alignment vertical="center"/>
    </xf>
    <xf numFmtId="167" fontId="20" fillId="0" borderId="17" xfId="1" applyNumberFormat="1" applyFont="1" applyBorder="1" applyAlignment="1">
      <alignment horizontal="right" vertical="center"/>
    </xf>
    <xf numFmtId="167" fontId="20" fillId="0" borderId="9" xfId="1" applyNumberFormat="1" applyFont="1" applyBorder="1" applyAlignment="1">
      <alignment horizontal="right" vertical="center"/>
    </xf>
    <xf numFmtId="167" fontId="20" fillId="0" borderId="8" xfId="1" applyNumberFormat="1" applyFont="1" applyBorder="1" applyAlignment="1">
      <alignment horizontal="right" vertical="center"/>
    </xf>
    <xf numFmtId="0" fontId="20" fillId="0" borderId="9" xfId="1" applyFont="1" applyBorder="1" applyAlignment="1">
      <alignment horizontal="center" vertical="top" wrapText="1"/>
    </xf>
    <xf numFmtId="14" fontId="20" fillId="0" borderId="9" xfId="1" applyNumberFormat="1" applyFont="1" applyBorder="1" applyAlignment="1">
      <alignment horizontal="center" vertical="top"/>
    </xf>
    <xf numFmtId="4" fontId="11" fillId="0" borderId="5" xfId="1" applyNumberFormat="1" applyFont="1" applyBorder="1" applyAlignment="1">
      <alignment horizontal="right" vertical="center" indent="1"/>
    </xf>
    <xf numFmtId="4" fontId="11" fillId="0" borderId="7" xfId="1" applyNumberFormat="1" applyFont="1" applyBorder="1" applyAlignment="1">
      <alignment horizontal="right" vertical="center" indent="1"/>
    </xf>
    <xf numFmtId="165" fontId="11" fillId="0" borderId="5" xfId="1" applyNumberFormat="1" applyFont="1" applyBorder="1" applyAlignment="1">
      <alignment horizontal="right" vertical="center" indent="1"/>
    </xf>
    <xf numFmtId="165" fontId="11" fillId="0" borderId="19" xfId="1" applyNumberFormat="1" applyFont="1" applyBorder="1" applyAlignment="1">
      <alignment horizontal="right" vertical="center" indent="1"/>
    </xf>
    <xf numFmtId="4" fontId="20" fillId="0" borderId="5" xfId="1" applyNumberFormat="1" applyFont="1" applyBorder="1" applyAlignment="1">
      <alignment horizontal="right" vertical="center" indent="1"/>
    </xf>
    <xf numFmtId="4" fontId="20" fillId="0" borderId="7" xfId="1" applyNumberFormat="1" applyFont="1" applyBorder="1" applyAlignment="1">
      <alignment horizontal="right" vertical="center" indent="1"/>
    </xf>
    <xf numFmtId="167" fontId="20" fillId="0" borderId="5" xfId="1" applyNumberFormat="1" applyFont="1" applyBorder="1" applyAlignment="1">
      <alignment horizontal="right" vertical="center" indent="1"/>
    </xf>
    <xf numFmtId="167" fontId="20" fillId="0" borderId="19" xfId="1" applyNumberFormat="1" applyFont="1" applyBorder="1" applyAlignment="1">
      <alignment horizontal="right" vertical="center" indent="1"/>
    </xf>
    <xf numFmtId="0" fontId="20" fillId="0" borderId="12" xfId="1" applyFont="1" applyBorder="1" applyAlignment="1">
      <alignment horizontal="left" vertical="center"/>
    </xf>
    <xf numFmtId="0" fontId="20" fillId="0" borderId="6" xfId="1" applyFont="1" applyBorder="1" applyAlignment="1">
      <alignment horizontal="left" vertical="center"/>
    </xf>
    <xf numFmtId="0" fontId="20" fillId="0" borderId="7" xfId="1" applyFont="1" applyBorder="1" applyAlignment="1">
      <alignment horizontal="left" vertical="center"/>
    </xf>
    <xf numFmtId="0" fontId="11" fillId="0" borderId="12" xfId="1" applyFont="1" applyBorder="1" applyAlignment="1">
      <alignment horizontal="left" vertical="center"/>
    </xf>
    <xf numFmtId="0" fontId="11" fillId="0" borderId="6" xfId="1" applyFont="1" applyBorder="1" applyAlignment="1">
      <alignment horizontal="left" vertical="center"/>
    </xf>
    <xf numFmtId="0" fontId="11" fillId="0" borderId="7" xfId="1" applyFont="1" applyBorder="1" applyAlignment="1">
      <alignment horizontal="left" vertical="center"/>
    </xf>
    <xf numFmtId="167" fontId="11" fillId="0" borderId="5" xfId="1" applyNumberFormat="1" applyFont="1" applyBorder="1" applyAlignment="1">
      <alignment horizontal="right" vertical="center" indent="1"/>
    </xf>
    <xf numFmtId="167" fontId="11" fillId="0" borderId="19" xfId="1" applyNumberFormat="1" applyFont="1" applyBorder="1" applyAlignment="1">
      <alignment horizontal="right" vertical="center" indent="1"/>
    </xf>
    <xf numFmtId="0" fontId="11" fillId="0" borderId="9" xfId="1" applyFont="1" applyBorder="1" applyAlignment="1">
      <alignment horizontal="right" indent="1"/>
    </xf>
    <xf numFmtId="0" fontId="11" fillId="0" borderId="25" xfId="1" applyFont="1" applyBorder="1" applyAlignment="1">
      <alignment horizontal="right" indent="1"/>
    </xf>
    <xf numFmtId="49" fontId="20" fillId="0" borderId="9" xfId="1" applyNumberFormat="1" applyFont="1" applyBorder="1" applyAlignment="1">
      <alignment vertical="center" wrapText="1"/>
    </xf>
    <xf numFmtId="0" fontId="11" fillId="0" borderId="9" xfId="1" applyFont="1" applyBorder="1" applyAlignment="1">
      <alignment vertical="center" wrapText="1"/>
    </xf>
    <xf numFmtId="49" fontId="20" fillId="5" borderId="8" xfId="1" applyNumberFormat="1" applyFont="1" applyFill="1" applyBorder="1" applyAlignment="1" applyProtection="1">
      <alignment horizontal="left" vertical="center"/>
      <protection locked="0"/>
    </xf>
    <xf numFmtId="0" fontId="20" fillId="5" borderId="0" xfId="1" applyFont="1" applyFill="1" applyAlignment="1" applyProtection="1">
      <alignment horizontal="left" vertical="center"/>
      <protection locked="0"/>
    </xf>
    <xf numFmtId="0" fontId="20" fillId="5" borderId="9" xfId="1" applyFont="1" applyFill="1" applyBorder="1" applyAlignment="1" applyProtection="1">
      <alignment horizontal="left" vertical="center"/>
      <protection locked="0"/>
    </xf>
    <xf numFmtId="0" fontId="11" fillId="5" borderId="9" xfId="1" applyFont="1" applyFill="1" applyBorder="1" applyAlignment="1" applyProtection="1">
      <alignment horizontal="left" vertical="center"/>
      <protection locked="0"/>
    </xf>
    <xf numFmtId="1" fontId="11" fillId="0" borderId="9" xfId="1" applyNumberFormat="1" applyFont="1" applyBorder="1" applyAlignment="1">
      <alignment horizontal="right" indent="1"/>
    </xf>
    <xf numFmtId="49" fontId="20" fillId="0" borderId="8" xfId="1" applyNumberFormat="1" applyFont="1" applyBorder="1" applyAlignment="1">
      <alignment horizontal="left" vertical="center" wrapText="1"/>
    </xf>
    <xf numFmtId="49" fontId="20" fillId="0" borderId="0" xfId="1" applyNumberFormat="1" applyFont="1" applyAlignment="1">
      <alignment horizontal="left" vertical="center" wrapText="1"/>
    </xf>
    <xf numFmtId="0" fontId="11" fillId="0" borderId="0" xfId="1" applyFont="1" applyAlignment="1">
      <alignment vertical="center" wrapText="1"/>
    </xf>
    <xf numFmtId="0" fontId="10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9" fillId="2" borderId="0" xfId="1" applyFont="1" applyFill="1" applyAlignment="1">
      <alignment horizontal="left" vertical="center" wrapText="1"/>
    </xf>
    <xf numFmtId="0" fontId="17" fillId="2" borderId="0" xfId="1" applyFont="1" applyFill="1" applyAlignment="1">
      <alignment wrapText="1"/>
    </xf>
    <xf numFmtId="0" fontId="17" fillId="2" borderId="16" xfId="1" applyFont="1" applyFill="1" applyBorder="1" applyAlignment="1">
      <alignment wrapText="1"/>
    </xf>
    <xf numFmtId="0" fontId="19" fillId="2" borderId="9" xfId="1" applyFont="1" applyFill="1" applyBorder="1" applyAlignment="1">
      <alignment horizontal="left" vertical="center" wrapText="1"/>
    </xf>
    <xf numFmtId="0" fontId="19" fillId="2" borderId="25" xfId="1" applyFont="1" applyFill="1" applyBorder="1" applyAlignment="1">
      <alignment horizontal="left" vertical="center" wrapText="1"/>
    </xf>
    <xf numFmtId="0" fontId="11" fillId="0" borderId="8" xfId="1" applyFont="1" applyBorder="1" applyAlignment="1">
      <alignment vertical="center" wrapText="1"/>
    </xf>
    <xf numFmtId="0" fontId="2" fillId="9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left"/>
    </xf>
    <xf numFmtId="0" fontId="2" fillId="9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left"/>
    </xf>
    <xf numFmtId="0" fontId="12" fillId="7" borderId="5" xfId="0" applyFont="1" applyFill="1" applyBorder="1" applyAlignment="1">
      <alignment horizontal="center"/>
    </xf>
    <xf numFmtId="0" fontId="12" fillId="7" borderId="7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left" vertical="center"/>
    </xf>
    <xf numFmtId="0" fontId="2" fillId="7" borderId="2" xfId="0" applyFont="1" applyFill="1" applyBorder="1" applyAlignment="1">
      <alignment horizontal="left" vertical="center"/>
    </xf>
    <xf numFmtId="0" fontId="2" fillId="7" borderId="3" xfId="0" applyFont="1" applyFill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</cellXfs>
  <cellStyles count="2">
    <cellStyle name="Normální" xfId="0" builtinId="0"/>
    <cellStyle name="Normální 2" xfId="1" xr:uid="{AFB7273E-24B6-4EF1-9142-67B251C8865A}"/>
  </cellStyles>
  <dxfs count="0"/>
  <tableStyles count="0" defaultTableStyle="TableStyleMedium2" defaultPivotStyle="PivotStyleLight16"/>
  <colors>
    <mruColors>
      <color rgb="FFCCFFFF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W:\BUILDpowerS\Templates\Rozpocty\Sablon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onza-PC/Desktop/MOJE%20FIRMY/PROJEKTY_A_REALIZACE/2019/156_M&#218;%20LUHA&#268;OVICE_Z&#193;KLADN&#205;%20&#352;KOLA/05_DOK%20STP-STATIKA%20EX+IN/05_VYKAZ%20VYMER_ZS/VZOR_Rozpo&#269;et_VV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tandard/Shared%20with%20me/01_PROJEKCE_SDILENO%20PRACOVNI%20TEAM/JB%20145-2019_MU%20LUHACOVICE_JESLE+ZS_MS/05_KOMPLETNI%20VYKAZ%20VYMER-ROZPOCET/POLOZKOVY%20ROZPOCE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rycí list"/>
      <sheetName val="Rekapitulace"/>
      <sheetName val="Položky"/>
    </sheetNames>
    <sheetDataSet>
      <sheetData sheetId="0"/>
      <sheetData sheetId="1">
        <row r="1">
          <cell r="H1" t="str">
            <v>SR-01</v>
          </cell>
        </row>
        <row r="28"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</row>
        <row r="36">
          <cell r="H36">
            <v>0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rycí list"/>
      <sheetName val="Rekapitulace"/>
      <sheetName val="Položky"/>
    </sheetNames>
    <sheetDataSet>
      <sheetData sheetId="0" refreshError="1">
        <row r="18">
          <cell r="C18">
            <v>21</v>
          </cell>
        </row>
        <row r="20">
          <cell r="C20">
            <v>0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DE269-2C1F-41A5-8405-5DAE34E60E1F}">
  <dimension ref="B4:C4"/>
  <sheetViews>
    <sheetView workbookViewId="0"/>
  </sheetViews>
  <sheetFormatPr defaultRowHeight="14.4" x14ac:dyDescent="0.3"/>
  <sheetData>
    <row r="4" spans="2:3" x14ac:dyDescent="0.3">
      <c r="B4" s="121"/>
      <c r="C4" t="s">
        <v>445</v>
      </c>
    </row>
  </sheetData>
  <sheetProtection algorithmName="SHA-512" hashValue="olpccthHpndIU0/ohrYhsA8ObHT2cBjg8Q071xOg7cik8DdwdY6JW1fi/wxyYy9cJc3vMZdgifAPsafUQ0v4jQ==" saltValue="pfOgh/kCZcWHpir3WnDLcg==" spinCount="100000" sheet="1" objects="1" scenarios="1" selectLockedCells="1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D5DEE-8CB7-45B3-A44E-F685F8C6531D}">
  <sheetPr>
    <pageSetUpPr fitToPage="1"/>
  </sheetPr>
  <dimension ref="A1:L36"/>
  <sheetViews>
    <sheetView workbookViewId="0">
      <selection activeCell="C12" sqref="C12:F12"/>
    </sheetView>
  </sheetViews>
  <sheetFormatPr defaultColWidth="9.109375" defaultRowHeight="14.4" x14ac:dyDescent="0.3"/>
  <cols>
    <col min="1" max="2" width="9.109375" style="40"/>
    <col min="3" max="3" width="10" style="40" customWidth="1"/>
    <col min="4" max="4" width="9.109375" style="40"/>
    <col min="5" max="5" width="12.44140625" style="40" customWidth="1"/>
    <col min="6" max="7" width="9.109375" style="40"/>
    <col min="8" max="8" width="9" style="40" bestFit="1" customWidth="1"/>
    <col min="9" max="9" width="11.88671875" style="40" customWidth="1"/>
    <col min="10" max="11" width="9.109375" style="40"/>
    <col min="12" max="12" width="11" style="40" bestFit="1" customWidth="1"/>
    <col min="13" max="16384" width="9.109375" style="40"/>
  </cols>
  <sheetData>
    <row r="1" spans="1:9" ht="18" x14ac:dyDescent="0.3">
      <c r="A1" s="178" t="s">
        <v>421</v>
      </c>
      <c r="B1" s="179"/>
      <c r="C1" s="179"/>
      <c r="D1" s="179"/>
      <c r="E1" s="179"/>
      <c r="F1" s="179"/>
      <c r="G1" s="179"/>
      <c r="H1" s="179"/>
      <c r="I1" s="180"/>
    </row>
    <row r="2" spans="1:9" ht="15.6" x14ac:dyDescent="0.3">
      <c r="A2" s="106" t="s">
        <v>422</v>
      </c>
      <c r="B2" s="107"/>
      <c r="C2" s="122" t="s">
        <v>453</v>
      </c>
      <c r="D2" s="125"/>
      <c r="E2" s="123"/>
      <c r="F2" s="123"/>
      <c r="G2" s="123"/>
      <c r="H2" s="123"/>
      <c r="I2" s="124"/>
    </row>
    <row r="3" spans="1:9" x14ac:dyDescent="0.3">
      <c r="A3" s="108"/>
      <c r="B3" s="107"/>
      <c r="C3" s="109"/>
      <c r="D3" s="181"/>
      <c r="E3" s="182"/>
      <c r="F3" s="182"/>
      <c r="G3" s="182"/>
      <c r="H3" s="182"/>
      <c r="I3" s="183"/>
    </row>
    <row r="4" spans="1:9" x14ac:dyDescent="0.3">
      <c r="A4" s="110"/>
      <c r="B4" s="111"/>
      <c r="C4" s="112"/>
      <c r="D4" s="184"/>
      <c r="E4" s="184"/>
      <c r="F4" s="184"/>
      <c r="G4" s="184"/>
      <c r="H4" s="184"/>
      <c r="I4" s="185"/>
    </row>
    <row r="5" spans="1:9" x14ac:dyDescent="0.3">
      <c r="A5" s="42" t="s">
        <v>423</v>
      </c>
      <c r="B5" s="43"/>
      <c r="C5" s="175" t="s">
        <v>443</v>
      </c>
      <c r="D5" s="186"/>
      <c r="E5" s="186"/>
      <c r="F5" s="186"/>
      <c r="G5" s="44" t="s">
        <v>457</v>
      </c>
      <c r="H5" s="56" t="s">
        <v>456</v>
      </c>
      <c r="I5" s="45"/>
    </row>
    <row r="6" spans="1:9" x14ac:dyDescent="0.3">
      <c r="A6" s="46"/>
      <c r="B6" s="47"/>
      <c r="C6" s="176" t="s">
        <v>444</v>
      </c>
      <c r="D6" s="177"/>
      <c r="E6" s="177"/>
      <c r="F6" s="177"/>
      <c r="G6" s="44" t="s">
        <v>425</v>
      </c>
      <c r="H6" s="48"/>
      <c r="I6" s="45"/>
    </row>
    <row r="7" spans="1:9" x14ac:dyDescent="0.3">
      <c r="A7" s="49"/>
      <c r="B7" s="50"/>
      <c r="C7" s="51" t="s">
        <v>427</v>
      </c>
      <c r="D7" s="168" t="s">
        <v>428</v>
      </c>
      <c r="E7" s="169"/>
      <c r="F7" s="169"/>
      <c r="G7" s="52"/>
      <c r="H7" s="53"/>
      <c r="I7" s="54"/>
    </row>
    <row r="8" spans="1:9" x14ac:dyDescent="0.3">
      <c r="A8" s="42" t="s">
        <v>4</v>
      </c>
      <c r="B8" s="43"/>
      <c r="C8" s="175" t="s">
        <v>458</v>
      </c>
      <c r="D8" s="175"/>
      <c r="E8" s="175"/>
      <c r="F8" s="175"/>
      <c r="G8" s="44" t="s">
        <v>424</v>
      </c>
      <c r="H8" s="56" t="s">
        <v>460</v>
      </c>
      <c r="I8" s="45"/>
    </row>
    <row r="9" spans="1:9" x14ac:dyDescent="0.3">
      <c r="A9" s="57"/>
      <c r="B9" s="43"/>
      <c r="C9" s="176" t="s">
        <v>459</v>
      </c>
      <c r="D9" s="176"/>
      <c r="E9" s="176"/>
      <c r="F9" s="176"/>
      <c r="G9" s="44" t="s">
        <v>425</v>
      </c>
      <c r="H9" s="56"/>
      <c r="I9" s="45"/>
    </row>
    <row r="10" spans="1:9" x14ac:dyDescent="0.3">
      <c r="A10" s="58"/>
      <c r="B10" s="50"/>
      <c r="C10" s="51"/>
      <c r="D10" s="59"/>
      <c r="E10" s="52"/>
      <c r="F10" s="60"/>
      <c r="G10" s="60"/>
      <c r="H10" s="61"/>
      <c r="I10" s="54"/>
    </row>
    <row r="11" spans="1:9" x14ac:dyDescent="0.3">
      <c r="A11" s="42" t="s">
        <v>426</v>
      </c>
      <c r="B11" s="43"/>
      <c r="C11" s="170"/>
      <c r="D11" s="170"/>
      <c r="E11" s="170"/>
      <c r="F11" s="170"/>
      <c r="G11" s="44" t="s">
        <v>424</v>
      </c>
      <c r="H11" s="62"/>
      <c r="I11" s="45"/>
    </row>
    <row r="12" spans="1:9" x14ac:dyDescent="0.3">
      <c r="A12" s="46"/>
      <c r="B12" s="47"/>
      <c r="C12" s="171"/>
      <c r="D12" s="171"/>
      <c r="E12" s="171"/>
      <c r="F12" s="171"/>
      <c r="G12" s="44" t="s">
        <v>425</v>
      </c>
      <c r="H12" s="63"/>
      <c r="I12" s="45"/>
    </row>
    <row r="13" spans="1:9" x14ac:dyDescent="0.3">
      <c r="A13" s="49"/>
      <c r="B13" s="50"/>
      <c r="C13" s="64"/>
      <c r="D13" s="172"/>
      <c r="E13" s="173"/>
      <c r="F13" s="173"/>
      <c r="G13" s="65"/>
      <c r="H13" s="53"/>
      <c r="I13" s="54"/>
    </row>
    <row r="14" spans="1:9" x14ac:dyDescent="0.3">
      <c r="A14" s="66" t="s">
        <v>429</v>
      </c>
      <c r="B14" s="67"/>
      <c r="C14" s="68"/>
      <c r="D14" s="69"/>
      <c r="E14" s="70"/>
      <c r="F14" s="70"/>
      <c r="G14" s="71"/>
      <c r="H14" s="70"/>
      <c r="I14" s="72"/>
    </row>
    <row r="15" spans="1:9" x14ac:dyDescent="0.3">
      <c r="A15" s="58" t="s">
        <v>430</v>
      </c>
      <c r="B15" s="73"/>
      <c r="C15" s="74"/>
      <c r="D15" s="174"/>
      <c r="E15" s="174"/>
      <c r="F15" s="166"/>
      <c r="G15" s="166"/>
      <c r="H15" s="166" t="s">
        <v>431</v>
      </c>
      <c r="I15" s="167"/>
    </row>
    <row r="16" spans="1:9" x14ac:dyDescent="0.3">
      <c r="A16" s="161" t="str">
        <f>Rekapitulace!A14</f>
        <v xml:space="preserve">1. Stavební úpravy objektu č.p. 811 - vybourání otvoru </v>
      </c>
      <c r="B16" s="162"/>
      <c r="C16" s="162"/>
      <c r="D16" s="162"/>
      <c r="E16" s="163"/>
      <c r="F16" s="150"/>
      <c r="G16" s="151"/>
      <c r="H16" s="164">
        <f>Rekapitulace!C22</f>
        <v>0</v>
      </c>
      <c r="I16" s="165"/>
    </row>
    <row r="17" spans="1:12" x14ac:dyDescent="0.3">
      <c r="A17" s="161" t="str">
        <f>Rekapitulace!A23</f>
        <v>2. Stavební úpravy objektu č.p. 811 - modernizace</v>
      </c>
      <c r="B17" s="162"/>
      <c r="C17" s="162"/>
      <c r="D17" s="162"/>
      <c r="E17" s="163"/>
      <c r="F17" s="150"/>
      <c r="G17" s="151"/>
      <c r="H17" s="164">
        <f>Rekapitulace!C43</f>
        <v>0</v>
      </c>
      <c r="I17" s="165"/>
    </row>
    <row r="18" spans="1:12" x14ac:dyDescent="0.3">
      <c r="A18" s="161" t="str">
        <f>Rekapitulace!A44</f>
        <v>3. Modernizace interiéru odborných učeben ZŠ Luhačovice</v>
      </c>
      <c r="B18" s="162"/>
      <c r="C18" s="162"/>
      <c r="D18" s="162"/>
      <c r="E18" s="163"/>
      <c r="F18" s="150"/>
      <c r="G18" s="151"/>
      <c r="H18" s="164">
        <f>Rekapitulace!C59</f>
        <v>0</v>
      </c>
      <c r="I18" s="165"/>
    </row>
    <row r="19" spans="1:12" x14ac:dyDescent="0.3">
      <c r="A19" s="161"/>
      <c r="B19" s="162"/>
      <c r="C19" s="162"/>
      <c r="D19" s="162"/>
      <c r="E19" s="163"/>
      <c r="F19" s="150"/>
      <c r="G19" s="151"/>
      <c r="H19" s="152"/>
      <c r="I19" s="153"/>
    </row>
    <row r="20" spans="1:12" x14ac:dyDescent="0.3">
      <c r="A20" s="161"/>
      <c r="B20" s="162"/>
      <c r="C20" s="162"/>
      <c r="D20" s="162"/>
      <c r="E20" s="163"/>
      <c r="F20" s="150"/>
      <c r="G20" s="151"/>
      <c r="H20" s="152"/>
      <c r="I20" s="153"/>
    </row>
    <row r="21" spans="1:12" x14ac:dyDescent="0.3">
      <c r="A21" s="158" t="s">
        <v>431</v>
      </c>
      <c r="B21" s="159"/>
      <c r="C21" s="159"/>
      <c r="D21" s="159"/>
      <c r="E21" s="160"/>
      <c r="F21" s="154"/>
      <c r="G21" s="155"/>
      <c r="H21" s="156">
        <f>SUM(H16:I20)</f>
        <v>0</v>
      </c>
      <c r="I21" s="157"/>
    </row>
    <row r="22" spans="1:12" x14ac:dyDescent="0.3">
      <c r="A22" s="75" t="s">
        <v>432</v>
      </c>
      <c r="B22" s="76"/>
      <c r="C22" s="77"/>
      <c r="D22" s="78"/>
      <c r="E22" s="79"/>
      <c r="F22" s="80"/>
      <c r="G22" s="80"/>
      <c r="H22" s="80"/>
      <c r="I22" s="81"/>
    </row>
    <row r="23" spans="1:12" x14ac:dyDescent="0.3">
      <c r="A23" s="82" t="s">
        <v>433</v>
      </c>
      <c r="B23" s="76"/>
      <c r="C23" s="77"/>
      <c r="D23" s="83"/>
      <c r="E23" s="79" t="s">
        <v>434</v>
      </c>
      <c r="F23" s="139">
        <v>0</v>
      </c>
      <c r="G23" s="140"/>
      <c r="H23" s="140"/>
      <c r="I23" s="81"/>
    </row>
    <row r="24" spans="1:12" x14ac:dyDescent="0.3">
      <c r="A24" s="82" t="s">
        <v>435</v>
      </c>
      <c r="B24" s="76"/>
      <c r="C24" s="77"/>
      <c r="D24" s="84"/>
      <c r="E24" s="79" t="s">
        <v>434</v>
      </c>
      <c r="F24" s="141">
        <v>0</v>
      </c>
      <c r="G24" s="142"/>
      <c r="H24" s="142"/>
      <c r="I24" s="81"/>
    </row>
    <row r="25" spans="1:12" x14ac:dyDescent="0.3">
      <c r="A25" s="82" t="s">
        <v>436</v>
      </c>
      <c r="B25" s="76"/>
      <c r="C25" s="77"/>
      <c r="D25" s="83">
        <v>21</v>
      </c>
      <c r="E25" s="79" t="s">
        <v>434</v>
      </c>
      <c r="F25" s="143">
        <f>H21</f>
        <v>0</v>
      </c>
      <c r="G25" s="144"/>
      <c r="H25" s="144"/>
      <c r="I25" s="81"/>
    </row>
    <row r="26" spans="1:12" x14ac:dyDescent="0.3">
      <c r="A26" s="85" t="s">
        <v>437</v>
      </c>
      <c r="B26" s="86"/>
      <c r="C26" s="74"/>
      <c r="D26" s="84">
        <v>21</v>
      </c>
      <c r="E26" s="87" t="s">
        <v>434</v>
      </c>
      <c r="F26" s="145">
        <f>0.21*F25</f>
        <v>0</v>
      </c>
      <c r="G26" s="146"/>
      <c r="H26" s="146"/>
      <c r="I26" s="88"/>
    </row>
    <row r="27" spans="1:12" ht="15" thickBot="1" x14ac:dyDescent="0.35">
      <c r="A27" s="42" t="s">
        <v>438</v>
      </c>
      <c r="B27" s="89"/>
      <c r="C27" s="90"/>
      <c r="D27" s="89"/>
      <c r="E27" s="91"/>
      <c r="F27" s="147">
        <f>CEILING(F25+F26,1)</f>
        <v>0</v>
      </c>
      <c r="G27" s="147"/>
      <c r="H27" s="147"/>
      <c r="I27" s="92"/>
    </row>
    <row r="28" spans="1:12" ht="15" thickBot="1" x14ac:dyDescent="0.35">
      <c r="A28" s="113" t="s">
        <v>439</v>
      </c>
      <c r="B28" s="114"/>
      <c r="C28" s="114"/>
      <c r="D28" s="115"/>
      <c r="E28" s="116"/>
      <c r="F28" s="133">
        <f>F25</f>
        <v>0</v>
      </c>
      <c r="G28" s="133"/>
      <c r="H28" s="133"/>
      <c r="I28" s="117"/>
    </row>
    <row r="29" spans="1:12" ht="15" thickBot="1" x14ac:dyDescent="0.35">
      <c r="A29" s="113" t="s">
        <v>440</v>
      </c>
      <c r="B29" s="118"/>
      <c r="C29" s="118"/>
      <c r="D29" s="118"/>
      <c r="E29" s="119"/>
      <c r="F29" s="133">
        <f>F27</f>
        <v>0</v>
      </c>
      <c r="G29" s="133"/>
      <c r="H29" s="133"/>
      <c r="I29" s="120"/>
      <c r="L29" s="41"/>
    </row>
    <row r="30" spans="1:12" x14ac:dyDescent="0.3">
      <c r="A30" s="57"/>
      <c r="B30" s="43"/>
      <c r="C30" s="43"/>
      <c r="D30" s="43"/>
      <c r="E30" s="55"/>
      <c r="F30" s="55"/>
      <c r="G30" s="55"/>
      <c r="H30" s="55"/>
      <c r="I30" s="93"/>
    </row>
    <row r="31" spans="1:12" x14ac:dyDescent="0.3">
      <c r="A31" s="57"/>
      <c r="B31" s="43"/>
      <c r="C31" s="43"/>
      <c r="D31" s="43"/>
      <c r="E31" s="55"/>
      <c r="F31" s="55"/>
      <c r="G31" s="55"/>
      <c r="H31" s="55"/>
      <c r="I31" s="93"/>
    </row>
    <row r="32" spans="1:12" x14ac:dyDescent="0.3">
      <c r="A32" s="94"/>
      <c r="B32" s="95" t="s">
        <v>441</v>
      </c>
      <c r="C32" s="148"/>
      <c r="D32" s="148"/>
      <c r="E32" s="96" t="s">
        <v>442</v>
      </c>
      <c r="F32" s="149">
        <v>44760</v>
      </c>
      <c r="G32" s="149"/>
      <c r="H32" s="149"/>
      <c r="I32" s="93"/>
    </row>
    <row r="33" spans="1:9" x14ac:dyDescent="0.3">
      <c r="A33" s="57"/>
      <c r="B33" s="43"/>
      <c r="C33" s="43"/>
      <c r="D33" s="43"/>
      <c r="E33" s="55"/>
      <c r="F33" s="55"/>
      <c r="G33" s="55"/>
      <c r="H33" s="55"/>
      <c r="I33" s="93"/>
    </row>
    <row r="34" spans="1:9" x14ac:dyDescent="0.3">
      <c r="A34" s="97"/>
      <c r="B34" s="98"/>
      <c r="C34" s="134"/>
      <c r="D34" s="135"/>
      <c r="E34" s="99"/>
      <c r="F34" s="136"/>
      <c r="G34" s="137"/>
      <c r="H34" s="137"/>
      <c r="I34" s="100"/>
    </row>
    <row r="35" spans="1:9" x14ac:dyDescent="0.3">
      <c r="A35" s="57"/>
      <c r="B35" s="43"/>
      <c r="C35" s="138" t="s">
        <v>326</v>
      </c>
      <c r="D35" s="138"/>
      <c r="E35" s="55"/>
      <c r="F35" s="55"/>
      <c r="G35" s="101" t="s">
        <v>327</v>
      </c>
      <c r="H35" s="55"/>
      <c r="I35" s="93"/>
    </row>
    <row r="36" spans="1:9" ht="15" thickBot="1" x14ac:dyDescent="0.35">
      <c r="A36" s="102"/>
      <c r="B36" s="103"/>
      <c r="C36" s="103"/>
      <c r="D36" s="103"/>
      <c r="E36" s="104"/>
      <c r="F36" s="104"/>
      <c r="G36" s="104"/>
      <c r="H36" s="104"/>
      <c r="I36" s="105"/>
    </row>
  </sheetData>
  <sheetProtection algorithmName="SHA-512" hashValue="D/d/WKvSCMm8ye8uPL40m/aSSrd662/nelVZWztJcvU+e4lC/ShPxy202Ry1ClmxHDsop9rdYfkgL6lgOyFUfA==" saltValue="2fX/d+2mtqVIvBbmO1RsRQ==" spinCount="100000" sheet="1" objects="1" scenarios="1" selectLockedCells="1"/>
  <mergeCells count="44">
    <mergeCell ref="C6:F6"/>
    <mergeCell ref="A1:I1"/>
    <mergeCell ref="D3:I3"/>
    <mergeCell ref="D4:I4"/>
    <mergeCell ref="C5:F5"/>
    <mergeCell ref="D7:F7"/>
    <mergeCell ref="C11:F11"/>
    <mergeCell ref="C12:F12"/>
    <mergeCell ref="D13:F13"/>
    <mergeCell ref="D15:E15"/>
    <mergeCell ref="F15:G15"/>
    <mergeCell ref="C8:F8"/>
    <mergeCell ref="C9:F9"/>
    <mergeCell ref="H15:I15"/>
    <mergeCell ref="F16:G16"/>
    <mergeCell ref="H16:I16"/>
    <mergeCell ref="F17:G17"/>
    <mergeCell ref="H17:I17"/>
    <mergeCell ref="A16:E16"/>
    <mergeCell ref="A17:E17"/>
    <mergeCell ref="F18:G18"/>
    <mergeCell ref="H18:I18"/>
    <mergeCell ref="F19:G19"/>
    <mergeCell ref="H19:I19"/>
    <mergeCell ref="A19:E19"/>
    <mergeCell ref="A18:E18"/>
    <mergeCell ref="F20:G20"/>
    <mergeCell ref="H20:I20"/>
    <mergeCell ref="F21:G21"/>
    <mergeCell ref="H21:I21"/>
    <mergeCell ref="A21:E21"/>
    <mergeCell ref="A20:E20"/>
    <mergeCell ref="F29:H29"/>
    <mergeCell ref="C34:D34"/>
    <mergeCell ref="F34:H34"/>
    <mergeCell ref="C35:D35"/>
    <mergeCell ref="F23:H23"/>
    <mergeCell ref="F24:H24"/>
    <mergeCell ref="F25:H25"/>
    <mergeCell ref="F26:H26"/>
    <mergeCell ref="F27:H27"/>
    <mergeCell ref="F28:H28"/>
    <mergeCell ref="C32:D32"/>
    <mergeCell ref="F32:H32"/>
  </mergeCells>
  <pageMargins left="0.7" right="0.7" top="0.78740157499999996" bottom="0.78740157499999996" header="0.3" footer="0.3"/>
  <pageSetup paperSize="9" scale="98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00BF6-144C-4576-A3DE-179E86BD8A31}">
  <sheetPr>
    <pageSetUpPr fitToPage="1"/>
  </sheetPr>
  <dimension ref="A1:G60"/>
  <sheetViews>
    <sheetView zoomScaleNormal="100" workbookViewId="0">
      <selection activeCell="L35" sqref="L35"/>
    </sheetView>
  </sheetViews>
  <sheetFormatPr defaultRowHeight="14.4" x14ac:dyDescent="0.3"/>
  <cols>
    <col min="1" max="1" width="10.33203125" customWidth="1"/>
    <col min="2" max="2" width="64.5546875" customWidth="1"/>
    <col min="3" max="3" width="23" style="10" customWidth="1"/>
    <col min="5" max="5" width="11.5546875" customWidth="1"/>
    <col min="6" max="6" width="11.5546875" hidden="1" customWidth="1"/>
    <col min="7" max="7" width="11.33203125" hidden="1" customWidth="1"/>
    <col min="8" max="8" width="0" hidden="1" customWidth="1"/>
  </cols>
  <sheetData>
    <row r="1" spans="1:3" ht="15" customHeight="1" x14ac:dyDescent="0.5">
      <c r="A1" s="22"/>
      <c r="B1" s="23"/>
    </row>
    <row r="2" spans="1:3" ht="28.8" x14ac:dyDescent="0.3">
      <c r="A2" s="24" t="s">
        <v>1</v>
      </c>
      <c r="B2" s="15" t="s">
        <v>367</v>
      </c>
    </row>
    <row r="3" spans="1:3" ht="15" customHeight="1" x14ac:dyDescent="0.3">
      <c r="A3" s="25" t="s">
        <v>2</v>
      </c>
      <c r="B3" t="s">
        <v>3</v>
      </c>
    </row>
    <row r="4" spans="1:3" ht="15" customHeight="1" x14ac:dyDescent="0.3">
      <c r="A4" s="25" t="s">
        <v>4</v>
      </c>
      <c r="B4" t="s">
        <v>5</v>
      </c>
    </row>
    <row r="5" spans="1:3" ht="15" customHeight="1" x14ac:dyDescent="0.3">
      <c r="A5" s="22"/>
    </row>
    <row r="6" spans="1:3" ht="15" customHeight="1" x14ac:dyDescent="0.3">
      <c r="A6" s="25" t="s">
        <v>6</v>
      </c>
    </row>
    <row r="7" spans="1:3" ht="15" customHeight="1" x14ac:dyDescent="0.3">
      <c r="A7" s="22" t="s">
        <v>454</v>
      </c>
    </row>
    <row r="8" spans="1:3" ht="15" customHeight="1" x14ac:dyDescent="0.3">
      <c r="A8" s="22" t="s">
        <v>7</v>
      </c>
    </row>
    <row r="9" spans="1:3" ht="15" customHeight="1" x14ac:dyDescent="0.3">
      <c r="A9" s="25" t="s">
        <v>8</v>
      </c>
    </row>
    <row r="10" spans="1:3" ht="15" customHeight="1" x14ac:dyDescent="0.3">
      <c r="A10" s="25"/>
    </row>
    <row r="11" spans="1:3" ht="15" customHeight="1" x14ac:dyDescent="0.3">
      <c r="A11" s="25"/>
    </row>
    <row r="12" spans="1:3" ht="25.8" x14ac:dyDescent="0.5">
      <c r="A12" s="193" t="s">
        <v>323</v>
      </c>
      <c r="B12" s="193"/>
      <c r="C12" s="193"/>
    </row>
    <row r="13" spans="1:3" ht="23.4" x14ac:dyDescent="0.45">
      <c r="A13" s="197" t="s">
        <v>420</v>
      </c>
      <c r="B13" s="198"/>
      <c r="C13" s="28">
        <f>SUM(C22,C43,C59)</f>
        <v>0</v>
      </c>
    </row>
    <row r="14" spans="1:3" ht="18" x14ac:dyDescent="0.35">
      <c r="A14" s="196" t="str">
        <f>Položky!B13</f>
        <v xml:space="preserve">1. Stavební úpravy objektu č.p. 811 - vybourání otvoru </v>
      </c>
      <c r="B14" s="196"/>
      <c r="C14" s="196"/>
    </row>
    <row r="15" spans="1:3" ht="20.100000000000001" customHeight="1" x14ac:dyDescent="0.3">
      <c r="A15" s="194" t="s">
        <v>324</v>
      </c>
      <c r="B15" s="194"/>
      <c r="C15" s="29" t="s">
        <v>341</v>
      </c>
    </row>
    <row r="16" spans="1:3" ht="20.100000000000001" customHeight="1" x14ac:dyDescent="0.3">
      <c r="A16" s="30" t="str">
        <f>Položky!B14</f>
        <v>DÍL: 3</v>
      </c>
      <c r="B16" s="31" t="str">
        <f>Položky!C14</f>
        <v>Svislé a kompletní konstrukce</v>
      </c>
      <c r="C16" s="32">
        <f>Položky!G14</f>
        <v>0</v>
      </c>
    </row>
    <row r="17" spans="1:7" ht="20.100000000000001" customHeight="1" x14ac:dyDescent="0.3">
      <c r="A17" s="30" t="str">
        <f>Položky!B18</f>
        <v>DÍL: 61</v>
      </c>
      <c r="B17" s="31" t="str">
        <f>Položky!C18</f>
        <v>Úpravy povrchů vnitřní</v>
      </c>
      <c r="C17" s="32">
        <f>Položky!G18</f>
        <v>0</v>
      </c>
    </row>
    <row r="18" spans="1:7" ht="20.100000000000001" customHeight="1" x14ac:dyDescent="0.3">
      <c r="A18" s="30" t="str">
        <f>Položky!B22</f>
        <v>DÍL: 63</v>
      </c>
      <c r="B18" s="31" t="str">
        <f>Položky!C22</f>
        <v>Podlahy a podlahové konstrukce</v>
      </c>
      <c r="C18" s="32">
        <f>Položky!G22</f>
        <v>0</v>
      </c>
    </row>
    <row r="19" spans="1:7" ht="20.100000000000001" customHeight="1" x14ac:dyDescent="0.3">
      <c r="A19" s="30" t="str">
        <f>Položky!B26</f>
        <v>DÍL: 94</v>
      </c>
      <c r="B19" s="31" t="str">
        <f>Položky!C26</f>
        <v>Lešení a stavební výtahy</v>
      </c>
      <c r="C19" s="32">
        <f>Položky!G26</f>
        <v>0</v>
      </c>
      <c r="G19" s="12">
        <f>SUM(C16:C21)</f>
        <v>0</v>
      </c>
    </row>
    <row r="20" spans="1:7" ht="20.100000000000001" customHeight="1" x14ac:dyDescent="0.3">
      <c r="A20" s="30" t="str">
        <f>Položky!B30</f>
        <v>DÍL: 96</v>
      </c>
      <c r="B20" s="31" t="str">
        <f>Položky!C30</f>
        <v>Bourání konstrukcí</v>
      </c>
      <c r="C20" s="32">
        <f>Položky!G30</f>
        <v>0</v>
      </c>
    </row>
    <row r="21" spans="1:7" ht="20.100000000000001" customHeight="1" x14ac:dyDescent="0.3">
      <c r="A21" s="30" t="str">
        <f>Položky!B40</f>
        <v>DÍL: 99</v>
      </c>
      <c r="B21" s="31" t="str">
        <f>Položky!C40</f>
        <v>Přesun hmot HSV</v>
      </c>
      <c r="C21" s="32">
        <f>Položky!G40</f>
        <v>0</v>
      </c>
      <c r="E21" s="12"/>
    </row>
    <row r="22" spans="1:7" ht="20.100000000000001" customHeight="1" x14ac:dyDescent="0.3">
      <c r="A22" s="195" t="s">
        <v>325</v>
      </c>
      <c r="B22" s="195"/>
      <c r="C22" s="33">
        <f>Položky!G13</f>
        <v>0</v>
      </c>
      <c r="D22" s="12"/>
      <c r="F22" s="12"/>
    </row>
    <row r="23" spans="1:7" ht="18" x14ac:dyDescent="0.35">
      <c r="A23" s="188" t="str">
        <f>Položky!B42</f>
        <v>2. Stavební úpravy objektu č.p. 811 - modernizace</v>
      </c>
      <c r="B23" s="188"/>
      <c r="C23" s="188"/>
    </row>
    <row r="24" spans="1:7" ht="15" customHeight="1" x14ac:dyDescent="0.3">
      <c r="A24" s="189" t="s">
        <v>324</v>
      </c>
      <c r="B24" s="189"/>
      <c r="C24" s="34" t="s">
        <v>341</v>
      </c>
    </row>
    <row r="25" spans="1:7" x14ac:dyDescent="0.3">
      <c r="A25" s="30" t="str">
        <f>Položky!B43</f>
        <v xml:space="preserve">DÍL: 3 </v>
      </c>
      <c r="B25" s="31" t="str">
        <f>Položky!C43</f>
        <v>Svislé a kompletní konstrukce</v>
      </c>
      <c r="C25" s="32">
        <f>Položky!G43</f>
        <v>0</v>
      </c>
    </row>
    <row r="26" spans="1:7" x14ac:dyDescent="0.3">
      <c r="A26" s="30" t="str">
        <f>Položky!B54</f>
        <v>DÍL: 61</v>
      </c>
      <c r="B26" s="31" t="str">
        <f>Položky!C54</f>
        <v>Úpravy povrchů vnitřní</v>
      </c>
      <c r="C26" s="32">
        <f>Položky!G54</f>
        <v>0</v>
      </c>
    </row>
    <row r="27" spans="1:7" x14ac:dyDescent="0.3">
      <c r="A27" s="30" t="str">
        <f>Položky!B213</f>
        <v>DÍL: 63</v>
      </c>
      <c r="B27" s="31" t="str">
        <f>Položky!C213</f>
        <v>Podlahy a podlahové konstrukce</v>
      </c>
      <c r="C27" s="32">
        <f>Položky!G213</f>
        <v>0</v>
      </c>
    </row>
    <row r="28" spans="1:7" ht="15" customHeight="1" x14ac:dyDescent="0.3">
      <c r="A28" s="30" t="str">
        <f>Položky!B276</f>
        <v>DÍL: 64</v>
      </c>
      <c r="B28" s="31" t="str">
        <f>Položky!C276</f>
        <v xml:space="preserve">Výplně otvorů </v>
      </c>
      <c r="C28" s="32">
        <f>Položky!G276</f>
        <v>0</v>
      </c>
    </row>
    <row r="29" spans="1:7" ht="15" customHeight="1" x14ac:dyDescent="0.3">
      <c r="A29" s="30" t="str">
        <f>Položky!B328</f>
        <v>DÍL: 99</v>
      </c>
      <c r="B29" s="31" t="str">
        <f>Položky!C328</f>
        <v>Přesun hmot HSV</v>
      </c>
      <c r="C29" s="32">
        <f>Položky!G328</f>
        <v>0</v>
      </c>
    </row>
    <row r="30" spans="1:7" ht="15" customHeight="1" x14ac:dyDescent="0.3">
      <c r="A30" s="30" t="str">
        <f>Položky!B308</f>
        <v>DÍL: 96</v>
      </c>
      <c r="B30" s="31" t="str">
        <f>Položky!C308</f>
        <v>Bourání konstrukcí</v>
      </c>
      <c r="C30" s="32">
        <f>Položky!G308</f>
        <v>0</v>
      </c>
    </row>
    <row r="31" spans="1:7" ht="15" customHeight="1" x14ac:dyDescent="0.3">
      <c r="A31" s="30" t="str">
        <f>Položky!B330</f>
        <v>DÍL: 711</v>
      </c>
      <c r="B31" s="31" t="str">
        <f>Položky!C330</f>
        <v>Izolace proti vodě</v>
      </c>
      <c r="C31" s="32">
        <f>Položky!G330</f>
        <v>0</v>
      </c>
    </row>
    <row r="32" spans="1:7" ht="15" customHeight="1" x14ac:dyDescent="0.3">
      <c r="A32" s="30" t="str">
        <f>Položky!B337</f>
        <v>DÍL: 721</v>
      </c>
      <c r="B32" s="31" t="str">
        <f>Položky!C337</f>
        <v>Vnitřní kanalizace</v>
      </c>
      <c r="C32" s="32">
        <f>Položky!G337</f>
        <v>0</v>
      </c>
      <c r="F32" s="12"/>
      <c r="G32" s="12">
        <f>SUM(C25:C42)</f>
        <v>0</v>
      </c>
    </row>
    <row r="33" spans="1:6" ht="15" customHeight="1" x14ac:dyDescent="0.3">
      <c r="A33" s="30" t="str">
        <f>Položky!B343</f>
        <v>DÍL: 722</v>
      </c>
      <c r="B33" s="31" t="str">
        <f>Položky!C343</f>
        <v>Vnitřní vodovod</v>
      </c>
      <c r="C33" s="32">
        <f>Položky!G343</f>
        <v>0</v>
      </c>
    </row>
    <row r="34" spans="1:6" ht="15" customHeight="1" x14ac:dyDescent="0.3">
      <c r="A34" s="30" t="str">
        <f>Položky!B349</f>
        <v>DÍL: 725</v>
      </c>
      <c r="B34" s="31" t="str">
        <f>Položky!C349</f>
        <v>Zařizovací předměty</v>
      </c>
      <c r="C34" s="32">
        <f>Položky!G349</f>
        <v>0</v>
      </c>
    </row>
    <row r="35" spans="1:6" ht="15" customHeight="1" x14ac:dyDescent="0.3">
      <c r="A35" s="30" t="str">
        <f>Položky!B373</f>
        <v>DÍL: 728</v>
      </c>
      <c r="B35" s="31" t="str">
        <f>Položky!C373</f>
        <v>Vzduchotechnika</v>
      </c>
      <c r="C35" s="32">
        <f>Položky!G373</f>
        <v>0</v>
      </c>
    </row>
    <row r="36" spans="1:6" ht="15" customHeight="1" x14ac:dyDescent="0.3">
      <c r="A36" s="30" t="str">
        <f>Položky!B378</f>
        <v>DÍL: 766</v>
      </c>
      <c r="B36" s="31" t="str">
        <f>Položky!C378</f>
        <v xml:space="preserve">Konstrukce truhlářské </v>
      </c>
      <c r="C36" s="32">
        <f>Položky!G378</f>
        <v>0</v>
      </c>
    </row>
    <row r="37" spans="1:6" ht="15" customHeight="1" x14ac:dyDescent="0.3">
      <c r="A37" s="30" t="str">
        <f>Položky!B427</f>
        <v>DÍL: 767</v>
      </c>
      <c r="B37" s="31" t="str">
        <f>Položky!C427</f>
        <v xml:space="preserve">Konstrukce zámečnické </v>
      </c>
      <c r="C37" s="32">
        <f>Položky!G427</f>
        <v>0</v>
      </c>
    </row>
    <row r="38" spans="1:6" ht="15" customHeight="1" x14ac:dyDescent="0.3">
      <c r="A38" s="30" t="str">
        <f>Položky!B431</f>
        <v>DÍL: 771</v>
      </c>
      <c r="B38" s="31" t="str">
        <f>Položky!C431</f>
        <v>Podlahy z dlaždic</v>
      </c>
      <c r="C38" s="32">
        <f>Položky!G431</f>
        <v>0</v>
      </c>
    </row>
    <row r="39" spans="1:6" ht="15" customHeight="1" x14ac:dyDescent="0.3">
      <c r="A39" s="30" t="str">
        <f>Položky!B449</f>
        <v>DÍL: 776</v>
      </c>
      <c r="B39" s="31" t="str">
        <f>Položky!C449</f>
        <v xml:space="preserve">Podlahy povlakové </v>
      </c>
      <c r="C39" s="32">
        <f>Položky!G449</f>
        <v>0</v>
      </c>
    </row>
    <row r="40" spans="1:6" ht="15" customHeight="1" x14ac:dyDescent="0.3">
      <c r="A40" s="30" t="str">
        <f>Položky!B521</f>
        <v>DÍL: 781</v>
      </c>
      <c r="B40" s="31" t="str">
        <f>Položky!C521</f>
        <v xml:space="preserve">Obklady (keramické) </v>
      </c>
      <c r="C40" s="32">
        <f>Položky!G521</f>
        <v>0</v>
      </c>
    </row>
    <row r="41" spans="1:6" ht="15" customHeight="1" x14ac:dyDescent="0.3">
      <c r="A41" s="30" t="str">
        <f>Položky!B538</f>
        <v>DÍL: 784</v>
      </c>
      <c r="B41" s="31" t="str">
        <f>Položky!C538</f>
        <v>Malby</v>
      </c>
      <c r="C41" s="32">
        <f>Položky!G538</f>
        <v>0</v>
      </c>
    </row>
    <row r="42" spans="1:6" ht="15" customHeight="1" x14ac:dyDescent="0.3">
      <c r="A42" s="30" t="str">
        <f>Položky!B587</f>
        <v>DÍL: M65</v>
      </c>
      <c r="B42" s="31" t="str">
        <f>Položky!C587</f>
        <v>Elektroinstalace</v>
      </c>
      <c r="C42" s="32">
        <f>Položky!G587</f>
        <v>0</v>
      </c>
      <c r="E42" s="12"/>
      <c r="F42" s="12"/>
    </row>
    <row r="43" spans="1:6" ht="18" x14ac:dyDescent="0.3">
      <c r="A43" s="190" t="s">
        <v>325</v>
      </c>
      <c r="B43" s="190"/>
      <c r="C43" s="35">
        <f>Položky!G42</f>
        <v>0</v>
      </c>
    </row>
    <row r="44" spans="1:6" ht="18" x14ac:dyDescent="0.35">
      <c r="A44" s="191" t="str">
        <f>Položky!B597</f>
        <v>3. Modernizace interiéru odborných učeben ZŠ Luhačovice</v>
      </c>
      <c r="B44" s="191"/>
      <c r="C44" s="191"/>
    </row>
    <row r="45" spans="1:6" x14ac:dyDescent="0.3">
      <c r="A45" s="192" t="s">
        <v>324</v>
      </c>
      <c r="B45" s="192"/>
      <c r="C45" s="36" t="s">
        <v>341</v>
      </c>
    </row>
    <row r="46" spans="1:6" x14ac:dyDescent="0.3">
      <c r="A46" s="30" t="str">
        <f>Položky!B598</f>
        <v>DÍL: 61</v>
      </c>
      <c r="B46" s="31" t="str">
        <f>Položky!C598</f>
        <v>Úpravy povrchů vnitřní</v>
      </c>
      <c r="C46" s="32">
        <f>Položky!G598</f>
        <v>0</v>
      </c>
    </row>
    <row r="47" spans="1:6" x14ac:dyDescent="0.3">
      <c r="A47" s="30" t="str">
        <f>Položky!B671</f>
        <v>DÍL: 63</v>
      </c>
      <c r="B47" s="31" t="str">
        <f>Položky!C671</f>
        <v>Podlahy a podlahové konstrukce</v>
      </c>
      <c r="C47" s="32">
        <f>Položky!G671</f>
        <v>0</v>
      </c>
    </row>
    <row r="48" spans="1:6" x14ac:dyDescent="0.3">
      <c r="A48" s="30" t="str">
        <f>Položky!B699</f>
        <v>DÍL: 64</v>
      </c>
      <c r="B48" s="31" t="str">
        <f>Položky!C699</f>
        <v xml:space="preserve">Výplně otvorů </v>
      </c>
      <c r="C48" s="32">
        <f>Položky!G699</f>
        <v>0</v>
      </c>
    </row>
    <row r="49" spans="1:7" x14ac:dyDescent="0.3">
      <c r="A49" s="30" t="str">
        <f>Položky!B705</f>
        <v>DÍL: 99</v>
      </c>
      <c r="B49" s="31" t="str">
        <f>Položky!C705</f>
        <v>Přesun hmot HSV</v>
      </c>
      <c r="C49" s="32">
        <f>Položky!G705</f>
        <v>0</v>
      </c>
    </row>
    <row r="50" spans="1:7" x14ac:dyDescent="0.3">
      <c r="A50" s="30" t="str">
        <f>Položky!B707</f>
        <v>DÍL: 721</v>
      </c>
      <c r="B50" s="31" t="str">
        <f>Položky!C707</f>
        <v>Vnitřní kanalizace</v>
      </c>
      <c r="C50" s="32">
        <f>Položky!G707</f>
        <v>0</v>
      </c>
    </row>
    <row r="51" spans="1:7" x14ac:dyDescent="0.3">
      <c r="A51" s="30" t="str">
        <f>Položky!B713</f>
        <v>DÍL: 722</v>
      </c>
      <c r="B51" s="31" t="str">
        <f>Položky!C713</f>
        <v>Vnitřní vodovod</v>
      </c>
      <c r="C51" s="32">
        <f>Položky!G713</f>
        <v>0</v>
      </c>
    </row>
    <row r="52" spans="1:7" x14ac:dyDescent="0.3">
      <c r="A52" s="30" t="str">
        <f>Položky!B719</f>
        <v>DÍL: 725</v>
      </c>
      <c r="B52" s="31" t="str">
        <f>Položky!C719</f>
        <v>Zařizovací předměty</v>
      </c>
      <c r="C52" s="32">
        <f>Položky!G719</f>
        <v>0</v>
      </c>
    </row>
    <row r="53" spans="1:7" x14ac:dyDescent="0.3">
      <c r="A53" s="30" t="str">
        <f>Položky!B729</f>
        <v>DÍL: 735</v>
      </c>
      <c r="B53" s="31" t="str">
        <f>Položky!C729</f>
        <v>Otopná tělesa</v>
      </c>
      <c r="C53" s="32">
        <f>Položky!G729</f>
        <v>0</v>
      </c>
      <c r="G53" s="12">
        <f>SUM(C46:C58)</f>
        <v>0</v>
      </c>
    </row>
    <row r="54" spans="1:7" x14ac:dyDescent="0.3">
      <c r="A54" s="30" t="str">
        <f>Položky!B740</f>
        <v>DÍL: 766</v>
      </c>
      <c r="B54" s="31" t="str">
        <f>Položky!C740</f>
        <v xml:space="preserve">Konstrukce truhlářské </v>
      </c>
      <c r="C54" s="32">
        <f>Položky!G740</f>
        <v>0</v>
      </c>
      <c r="E54" s="12"/>
    </row>
    <row r="55" spans="1:7" x14ac:dyDescent="0.3">
      <c r="A55" s="30" t="str">
        <f>Položky!B758</f>
        <v>DÍL: 776</v>
      </c>
      <c r="B55" s="31" t="str">
        <f>Položky!C758</f>
        <v xml:space="preserve">Podlahy povlakové </v>
      </c>
      <c r="C55" s="32">
        <f>Položky!G758</f>
        <v>0</v>
      </c>
    </row>
    <row r="56" spans="1:7" x14ac:dyDescent="0.3">
      <c r="A56" s="30" t="str">
        <f>Položky!B780</f>
        <v>DÍL: 781</v>
      </c>
      <c r="B56" s="31" t="str">
        <f>Položky!C780</f>
        <v xml:space="preserve">Obklady (keramické) </v>
      </c>
      <c r="C56" s="32">
        <f>Položky!G780</f>
        <v>0</v>
      </c>
    </row>
    <row r="57" spans="1:7" x14ac:dyDescent="0.3">
      <c r="A57" s="30" t="str">
        <f>Položky!B797</f>
        <v>DÍL: 784</v>
      </c>
      <c r="B57" s="31" t="str">
        <f>Položky!C797</f>
        <v>Malby</v>
      </c>
      <c r="C57" s="32">
        <f>Položky!G797</f>
        <v>0</v>
      </c>
      <c r="E57" s="12"/>
    </row>
    <row r="58" spans="1:7" x14ac:dyDescent="0.3">
      <c r="A58" s="30" t="str">
        <f>Položky!B815</f>
        <v>DÍL: M65</v>
      </c>
      <c r="B58" s="31" t="str">
        <f>Položky!C815</f>
        <v>Elektroinstalace</v>
      </c>
      <c r="C58" s="32">
        <f>Položky!G815</f>
        <v>0</v>
      </c>
    </row>
    <row r="59" spans="1:7" ht="18" x14ac:dyDescent="0.3">
      <c r="A59" s="187" t="s">
        <v>325</v>
      </c>
      <c r="B59" s="187"/>
      <c r="C59" s="37">
        <f>Položky!G597</f>
        <v>0</v>
      </c>
    </row>
    <row r="60" spans="1:7" x14ac:dyDescent="0.3">
      <c r="C60"/>
    </row>
  </sheetData>
  <sheetProtection algorithmName="SHA-512" hashValue="MY9ru7S3hzUdtzThuv9RL5B/yAKjYLMFm45R0YdaQyIf4rIWChKKZoQAnHDVgFGS9+ctFY/e2juFdMP7fX9ZBQ==" saltValue="Gjd2Dn/Euy35SVQbnLZNnQ==" spinCount="100000" sheet="1" objects="1" scenarios="1" selectLockedCells="1"/>
  <mergeCells count="11">
    <mergeCell ref="A12:C12"/>
    <mergeCell ref="A15:B15"/>
    <mergeCell ref="A22:B22"/>
    <mergeCell ref="A14:C14"/>
    <mergeCell ref="A13:B13"/>
    <mergeCell ref="A59:B59"/>
    <mergeCell ref="A23:C23"/>
    <mergeCell ref="A24:B24"/>
    <mergeCell ref="A43:B43"/>
    <mergeCell ref="A44:C44"/>
    <mergeCell ref="A45:B45"/>
  </mergeCells>
  <pageMargins left="1.1811023622047245" right="3.937007874015748E-2" top="0.74803149606299213" bottom="0.74803149606299213" header="0.31496062992125984" footer="0.31496062992125984"/>
  <pageSetup paperSize="9" scale="7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C54D9-0A45-4C73-A753-66E9A6639FA3}">
  <sheetPr>
    <pageSetUpPr fitToPage="1"/>
  </sheetPr>
  <dimension ref="A1:N826"/>
  <sheetViews>
    <sheetView tabSelected="1" zoomScaleNormal="100" workbookViewId="0">
      <pane ySplit="11" topLeftCell="A280" activePane="bottomLeft" state="frozen"/>
      <selection pane="bottomLeft" activeCell="F116" sqref="F116"/>
    </sheetView>
  </sheetViews>
  <sheetFormatPr defaultRowHeight="14.4" x14ac:dyDescent="0.3"/>
  <cols>
    <col min="1" max="1" width="2.5546875" customWidth="1"/>
    <col min="2" max="2" width="10.5546875" style="10" customWidth="1"/>
    <col min="3" max="3" width="92.44140625" bestFit="1" customWidth="1"/>
    <col min="4" max="4" width="11.109375" style="10" customWidth="1"/>
    <col min="5" max="5" width="12" style="11" customWidth="1"/>
    <col min="6" max="6" width="12.5546875" customWidth="1"/>
    <col min="7" max="7" width="13.5546875" bestFit="1" customWidth="1"/>
    <col min="8" max="9" width="13.5546875" customWidth="1"/>
    <col min="11" max="11" width="9.109375" style="38" hidden="1" customWidth="1"/>
    <col min="12" max="12" width="10.5546875" hidden="1" customWidth="1"/>
    <col min="13" max="13" width="11.88671875" hidden="1" customWidth="1"/>
    <col min="14" max="14" width="11.5546875" hidden="1" customWidth="1"/>
  </cols>
  <sheetData>
    <row r="1" spans="1:14" ht="25.8" x14ac:dyDescent="0.5">
      <c r="B1" s="22"/>
      <c r="C1" s="23" t="s">
        <v>0</v>
      </c>
    </row>
    <row r="2" spans="1:14" ht="28.8" x14ac:dyDescent="0.3">
      <c r="B2" s="24" t="s">
        <v>1</v>
      </c>
      <c r="C2" s="15" t="s">
        <v>367</v>
      </c>
    </row>
    <row r="3" spans="1:14" x14ac:dyDescent="0.3">
      <c r="B3" s="25" t="s">
        <v>2</v>
      </c>
      <c r="C3" t="s">
        <v>3</v>
      </c>
    </row>
    <row r="4" spans="1:14" x14ac:dyDescent="0.3">
      <c r="B4" s="25" t="s">
        <v>4</v>
      </c>
      <c r="C4" t="s">
        <v>5</v>
      </c>
    </row>
    <row r="5" spans="1:14" x14ac:dyDescent="0.3">
      <c r="B5" s="22"/>
    </row>
    <row r="6" spans="1:14" x14ac:dyDescent="0.3">
      <c r="B6" s="25" t="s">
        <v>6</v>
      </c>
    </row>
    <row r="7" spans="1:14" x14ac:dyDescent="0.3">
      <c r="B7" s="22" t="s">
        <v>454</v>
      </c>
    </row>
    <row r="8" spans="1:14" x14ac:dyDescent="0.3">
      <c r="B8" s="22" t="s">
        <v>7</v>
      </c>
    </row>
    <row r="9" spans="1:14" x14ac:dyDescent="0.3">
      <c r="B9" s="25" t="s">
        <v>8</v>
      </c>
    </row>
    <row r="10" spans="1:14" ht="15" thickBot="1" x14ac:dyDescent="0.35">
      <c r="B10" s="22"/>
    </row>
    <row r="11" spans="1:14" ht="29.4" thickBot="1" x14ac:dyDescent="0.35">
      <c r="B11" s="26" t="s">
        <v>9</v>
      </c>
      <c r="C11" s="128" t="s">
        <v>10</v>
      </c>
      <c r="D11" s="27" t="s">
        <v>11</v>
      </c>
      <c r="E11" s="129" t="s">
        <v>12</v>
      </c>
      <c r="F11" s="27" t="s">
        <v>13</v>
      </c>
      <c r="G11" s="127" t="s">
        <v>455</v>
      </c>
      <c r="H11" s="130" t="s">
        <v>462</v>
      </c>
      <c r="I11" s="131">
        <f>SUM(H13:H826)</f>
        <v>0</v>
      </c>
    </row>
    <row r="12" spans="1:14" ht="21.6" thickBot="1" x14ac:dyDescent="0.35">
      <c r="B12" s="203"/>
      <c r="C12" s="204"/>
      <c r="D12" s="204"/>
      <c r="E12" s="204"/>
      <c r="F12" s="204"/>
      <c r="G12" s="204"/>
      <c r="L12" t="s">
        <v>461</v>
      </c>
      <c r="M12">
        <v>1.06</v>
      </c>
    </row>
    <row r="13" spans="1:14" ht="15" thickBot="1" x14ac:dyDescent="0.35">
      <c r="A13" s="19"/>
      <c r="B13" s="205" t="s">
        <v>368</v>
      </c>
      <c r="C13" s="206"/>
      <c r="D13" s="206"/>
      <c r="E13" s="206"/>
      <c r="F13" s="206"/>
      <c r="G13" s="2">
        <f>SUM(G30,G26,G22,G18,G14,G40)</f>
        <v>0</v>
      </c>
    </row>
    <row r="14" spans="1:14" x14ac:dyDescent="0.3">
      <c r="A14" s="19"/>
      <c r="B14" s="3" t="s">
        <v>27</v>
      </c>
      <c r="C14" s="4" t="s">
        <v>28</v>
      </c>
      <c r="D14" s="5"/>
      <c r="E14" s="6"/>
      <c r="F14" s="7"/>
      <c r="G14" s="8">
        <f>SUM(G15:G17)</f>
        <v>0</v>
      </c>
      <c r="N14" s="132">
        <v>0.93</v>
      </c>
    </row>
    <row r="15" spans="1:14" x14ac:dyDescent="0.3">
      <c r="A15" s="19"/>
      <c r="B15" s="9">
        <v>1</v>
      </c>
      <c r="C15" t="s">
        <v>29</v>
      </c>
      <c r="D15" s="10" t="s">
        <v>30</v>
      </c>
      <c r="E15" s="11">
        <f>SUM(E17)</f>
        <v>2</v>
      </c>
      <c r="F15" s="1"/>
      <c r="G15" s="12">
        <f>E15*F15</f>
        <v>0</v>
      </c>
      <c r="K15" s="38">
        <f>(3000+18000)*3.5</f>
        <v>73500</v>
      </c>
      <c r="M15" s="1">
        <f>55000/N14</f>
        <v>59139.784946236556</v>
      </c>
    </row>
    <row r="16" spans="1:14" ht="28.8" x14ac:dyDescent="0.3">
      <c r="A16" s="19"/>
      <c r="B16" s="9"/>
      <c r="C16" s="13" t="s">
        <v>31</v>
      </c>
      <c r="F16" s="12"/>
    </row>
    <row r="17" spans="1:13" x14ac:dyDescent="0.3">
      <c r="A17" s="19"/>
      <c r="B17" s="9"/>
      <c r="C17" s="14" t="s">
        <v>32</v>
      </c>
      <c r="E17" s="14">
        <f>2*1</f>
        <v>2</v>
      </c>
      <c r="F17" s="12"/>
    </row>
    <row r="18" spans="1:13" x14ac:dyDescent="0.3">
      <c r="A18" s="19"/>
      <c r="B18" s="3" t="s">
        <v>33</v>
      </c>
      <c r="C18" s="4" t="s">
        <v>34</v>
      </c>
      <c r="D18" s="5"/>
      <c r="E18" s="6"/>
      <c r="F18" s="126"/>
      <c r="G18" s="8">
        <f>SUM(G19:G21)</f>
        <v>0</v>
      </c>
    </row>
    <row r="19" spans="1:13" ht="16.2" x14ac:dyDescent="0.3">
      <c r="A19" s="19"/>
      <c r="B19" s="9">
        <f>B15+1</f>
        <v>2</v>
      </c>
      <c r="C19" t="s">
        <v>35</v>
      </c>
      <c r="D19" s="10" t="s">
        <v>36</v>
      </c>
      <c r="E19" s="11">
        <f>SUM(E21)</f>
        <v>6.1</v>
      </c>
      <c r="F19" s="1"/>
      <c r="G19" s="12">
        <f>E19*F19</f>
        <v>0</v>
      </c>
      <c r="M19" s="1">
        <f>620/N14</f>
        <v>666.66666666666663</v>
      </c>
    </row>
    <row r="20" spans="1:13" x14ac:dyDescent="0.3">
      <c r="A20" s="19"/>
      <c r="B20" s="9"/>
      <c r="C20" s="13" t="s">
        <v>37</v>
      </c>
      <c r="F20" s="12"/>
    </row>
    <row r="21" spans="1:13" x14ac:dyDescent="0.3">
      <c r="A21" s="19"/>
      <c r="B21" s="9"/>
      <c r="C21" s="14" t="s">
        <v>38</v>
      </c>
      <c r="E21" s="14">
        <f>0.3*(3.5+3.5+4.5)+0.25*5.3*2</f>
        <v>6.1</v>
      </c>
      <c r="F21" s="12"/>
    </row>
    <row r="22" spans="1:13" x14ac:dyDescent="0.3">
      <c r="A22" s="19"/>
      <c r="B22" s="3" t="s">
        <v>39</v>
      </c>
      <c r="C22" s="4" t="s">
        <v>40</v>
      </c>
      <c r="D22" s="5"/>
      <c r="E22" s="6"/>
      <c r="F22" s="126"/>
      <c r="G22" s="8">
        <f>SUM(G23:G25)</f>
        <v>0</v>
      </c>
    </row>
    <row r="23" spans="1:13" ht="16.2" x14ac:dyDescent="0.3">
      <c r="A23" s="19"/>
      <c r="B23" s="9">
        <f>B19+1</f>
        <v>3</v>
      </c>
      <c r="C23" t="s">
        <v>41</v>
      </c>
      <c r="D23" s="10" t="s">
        <v>36</v>
      </c>
      <c r="E23" s="11">
        <f>SUM(E25)</f>
        <v>1.3499999999999999</v>
      </c>
      <c r="F23" s="1"/>
      <c r="G23" s="12">
        <f>E23*F23</f>
        <v>0</v>
      </c>
      <c r="M23" s="1">
        <f>1255/N14</f>
        <v>1349.4623655913979</v>
      </c>
    </row>
    <row r="24" spans="1:13" x14ac:dyDescent="0.3">
      <c r="A24" s="19"/>
      <c r="B24" s="9"/>
      <c r="C24" s="13" t="s">
        <v>42</v>
      </c>
      <c r="F24" s="12"/>
    </row>
    <row r="25" spans="1:13" x14ac:dyDescent="0.3">
      <c r="A25" s="19"/>
      <c r="B25" s="9"/>
      <c r="C25" s="14" t="s">
        <v>43</v>
      </c>
      <c r="E25" s="14">
        <f>0.3*4.5</f>
        <v>1.3499999999999999</v>
      </c>
      <c r="F25" s="12"/>
    </row>
    <row r="26" spans="1:13" x14ac:dyDescent="0.3">
      <c r="A26" s="19"/>
      <c r="B26" s="3" t="s">
        <v>44</v>
      </c>
      <c r="C26" s="4" t="s">
        <v>45</v>
      </c>
      <c r="D26" s="5"/>
      <c r="E26" s="6"/>
      <c r="F26" s="126"/>
      <c r="G26" s="8">
        <f>SUM(G27:G29)</f>
        <v>0</v>
      </c>
    </row>
    <row r="27" spans="1:13" ht="16.2" x14ac:dyDescent="0.3">
      <c r="A27" s="19"/>
      <c r="B27" s="9">
        <f>B23+1</f>
        <v>4</v>
      </c>
      <c r="C27" t="s">
        <v>46</v>
      </c>
      <c r="D27" s="10" t="s">
        <v>36</v>
      </c>
      <c r="E27" s="11">
        <f>SUM(E29)</f>
        <v>15.75</v>
      </c>
      <c r="F27" s="1"/>
      <c r="G27" s="12">
        <f>E27*F27</f>
        <v>0</v>
      </c>
      <c r="K27" s="38">
        <f>150+55</f>
        <v>205</v>
      </c>
      <c r="M27" s="1">
        <f>205/N14</f>
        <v>220.4301075268817</v>
      </c>
    </row>
    <row r="28" spans="1:13" x14ac:dyDescent="0.3">
      <c r="A28" s="19"/>
      <c r="B28" s="9"/>
      <c r="C28" s="13" t="s">
        <v>47</v>
      </c>
      <c r="F28" s="12"/>
    </row>
    <row r="29" spans="1:13" x14ac:dyDescent="0.3">
      <c r="A29" s="19"/>
      <c r="B29" s="9"/>
      <c r="C29" s="14" t="s">
        <v>48</v>
      </c>
      <c r="E29" s="14">
        <f>3.5*4.5</f>
        <v>15.75</v>
      </c>
      <c r="F29" s="12"/>
    </row>
    <row r="30" spans="1:13" x14ac:dyDescent="0.3">
      <c r="A30" s="19"/>
      <c r="B30" s="3" t="s">
        <v>14</v>
      </c>
      <c r="C30" s="4" t="s">
        <v>15</v>
      </c>
      <c r="D30" s="5"/>
      <c r="E30" s="6"/>
      <c r="F30" s="126"/>
      <c r="G30" s="8">
        <f>SUM(G31:G39)</f>
        <v>0</v>
      </c>
    </row>
    <row r="31" spans="1:13" x14ac:dyDescent="0.3">
      <c r="A31" s="19"/>
      <c r="B31" s="9">
        <f>B27+1</f>
        <v>5</v>
      </c>
      <c r="C31" s="15" t="s">
        <v>16</v>
      </c>
      <c r="D31" s="10" t="s">
        <v>17</v>
      </c>
      <c r="E31" s="11">
        <f>E33</f>
        <v>10.6</v>
      </c>
      <c r="F31" s="1"/>
      <c r="G31" s="12">
        <f>E31*F31</f>
        <v>0</v>
      </c>
      <c r="K31" s="38">
        <f>2*8*450</f>
        <v>7200</v>
      </c>
      <c r="M31" s="1">
        <f>720/N14</f>
        <v>774.19354838709671</v>
      </c>
    </row>
    <row r="32" spans="1:13" ht="28.8" x14ac:dyDescent="0.3">
      <c r="A32" s="19"/>
      <c r="B32" s="9"/>
      <c r="C32" s="13" t="s">
        <v>18</v>
      </c>
      <c r="F32" s="12"/>
      <c r="G32" s="12"/>
    </row>
    <row r="33" spans="1:14" x14ac:dyDescent="0.3">
      <c r="A33" s="19"/>
      <c r="B33" s="9"/>
      <c r="C33" s="14" t="s">
        <v>19</v>
      </c>
      <c r="E33" s="14">
        <f>5.3*2</f>
        <v>10.6</v>
      </c>
      <c r="F33" s="12"/>
      <c r="G33" s="12"/>
    </row>
    <row r="34" spans="1:14" ht="16.2" x14ac:dyDescent="0.3">
      <c r="A34" s="19"/>
      <c r="B34" s="9">
        <f>B31+1</f>
        <v>6</v>
      </c>
      <c r="C34" s="15" t="s">
        <v>20</v>
      </c>
      <c r="D34" s="10" t="s">
        <v>21</v>
      </c>
      <c r="E34" s="11">
        <f>E35</f>
        <v>4.7249999999999996</v>
      </c>
      <c r="F34" s="1"/>
      <c r="G34" s="12">
        <f>E34*F34</f>
        <v>0</v>
      </c>
      <c r="K34" s="38">
        <f>(3*8*450)/4.73</f>
        <v>2283.2980972515852</v>
      </c>
      <c r="M34" s="1">
        <f>5250/N14</f>
        <v>5645.1612903225805</v>
      </c>
    </row>
    <row r="35" spans="1:14" x14ac:dyDescent="0.3">
      <c r="A35" s="19"/>
      <c r="B35" s="9"/>
      <c r="C35" s="14" t="s">
        <v>22</v>
      </c>
      <c r="E35" s="14">
        <f>4.5*3.5*0.3</f>
        <v>4.7249999999999996</v>
      </c>
      <c r="F35" s="12"/>
      <c r="G35" s="12"/>
      <c r="M35" s="12"/>
    </row>
    <row r="36" spans="1:14" ht="16.2" x14ac:dyDescent="0.3">
      <c r="A36" s="19"/>
      <c r="B36" s="9">
        <f>B34+1</f>
        <v>7</v>
      </c>
      <c r="C36" t="s">
        <v>23</v>
      </c>
      <c r="D36" s="10" t="s">
        <v>21</v>
      </c>
      <c r="E36" s="11">
        <f>E37</f>
        <v>5.1275000000000004</v>
      </c>
      <c r="F36" s="1"/>
      <c r="G36" s="12">
        <f>E36*F36</f>
        <v>0</v>
      </c>
      <c r="K36" s="38">
        <f>6000/5.13</f>
        <v>1169.5906432748538</v>
      </c>
      <c r="M36" s="1">
        <f>1170/N14</f>
        <v>1258.0645161290322</v>
      </c>
    </row>
    <row r="37" spans="1:14" x14ac:dyDescent="0.3">
      <c r="A37" s="19"/>
      <c r="B37" s="9"/>
      <c r="C37" s="14" t="s">
        <v>24</v>
      </c>
      <c r="E37" s="14">
        <f>4.73+5.3*0.15*0.25*2</f>
        <v>5.1275000000000004</v>
      </c>
      <c r="F37" s="12"/>
      <c r="G37" s="12"/>
      <c r="M37" s="12"/>
    </row>
    <row r="38" spans="1:14" ht="16.2" x14ac:dyDescent="0.3">
      <c r="A38" s="19"/>
      <c r="B38" s="9">
        <f>B36+1</f>
        <v>8</v>
      </c>
      <c r="C38" t="s">
        <v>25</v>
      </c>
      <c r="D38" s="10" t="s">
        <v>21</v>
      </c>
      <c r="E38" s="11">
        <f>E36</f>
        <v>5.1275000000000004</v>
      </c>
      <c r="F38" s="1"/>
      <c r="G38" s="12">
        <f>E38*F38</f>
        <v>0</v>
      </c>
      <c r="M38" s="1">
        <f>550/N14</f>
        <v>591.39784946236557</v>
      </c>
    </row>
    <row r="39" spans="1:14" ht="16.2" x14ac:dyDescent="0.3">
      <c r="A39" s="19"/>
      <c r="B39" s="9">
        <f>B38+1</f>
        <v>9</v>
      </c>
      <c r="C39" t="s">
        <v>26</v>
      </c>
      <c r="D39" s="10" t="s">
        <v>21</v>
      </c>
      <c r="E39" s="11">
        <f>E36</f>
        <v>5.1275000000000004</v>
      </c>
      <c r="F39" s="1"/>
      <c r="G39" s="12">
        <f>E39*F39</f>
        <v>0</v>
      </c>
      <c r="M39" s="1">
        <f>860/N14</f>
        <v>924.73118279569883</v>
      </c>
    </row>
    <row r="40" spans="1:14" x14ac:dyDescent="0.3">
      <c r="A40" s="19"/>
      <c r="B40" s="3" t="s">
        <v>342</v>
      </c>
      <c r="C40" s="4" t="s">
        <v>344</v>
      </c>
      <c r="D40" s="5"/>
      <c r="E40" s="6"/>
      <c r="F40" s="126"/>
      <c r="G40" s="8">
        <f>SUM(G41)</f>
        <v>0</v>
      </c>
    </row>
    <row r="41" spans="1:14" ht="15" thickBot="1" x14ac:dyDescent="0.35">
      <c r="A41" s="19"/>
      <c r="B41" s="9">
        <f>B39+1</f>
        <v>10</v>
      </c>
      <c r="C41" s="15" t="s">
        <v>343</v>
      </c>
      <c r="D41" s="10" t="s">
        <v>70</v>
      </c>
      <c r="E41" s="11">
        <v>1</v>
      </c>
      <c r="F41" s="1"/>
      <c r="G41" s="12">
        <f>E41*F41</f>
        <v>0</v>
      </c>
      <c r="M41" s="1">
        <f>15000/N14</f>
        <v>16129.032258064515</v>
      </c>
    </row>
    <row r="42" spans="1:14" ht="15" thickBot="1" x14ac:dyDescent="0.35">
      <c r="A42" s="20"/>
      <c r="B42" s="199" t="s">
        <v>452</v>
      </c>
      <c r="C42" s="200"/>
      <c r="D42" s="200"/>
      <c r="E42" s="200"/>
      <c r="F42" s="200"/>
      <c r="G42" s="16">
        <f>SUM(G43,G54,G213,G276,G308,G330,G337,G343,G349,G373,G378,G431,G449,G521,G587,G538,G328,G427)</f>
        <v>0</v>
      </c>
      <c r="N42" s="132">
        <v>0.93</v>
      </c>
    </row>
    <row r="43" spans="1:14" x14ac:dyDescent="0.3">
      <c r="A43" s="20"/>
      <c r="B43" s="3" t="s">
        <v>197</v>
      </c>
      <c r="C43" s="4" t="s">
        <v>28</v>
      </c>
      <c r="D43" s="5"/>
      <c r="E43" s="6"/>
      <c r="F43" s="7"/>
      <c r="G43" s="8">
        <f>SUM(G44:G53)</f>
        <v>0</v>
      </c>
    </row>
    <row r="44" spans="1:14" ht="16.2" x14ac:dyDescent="0.3">
      <c r="A44" s="20"/>
      <c r="B44" s="9">
        <f>B41+1</f>
        <v>11</v>
      </c>
      <c r="C44" s="15" t="s">
        <v>198</v>
      </c>
      <c r="D44" s="10" t="s">
        <v>36</v>
      </c>
      <c r="E44" s="11">
        <f>SUM(E46:E48)</f>
        <v>29.405600000000003</v>
      </c>
      <c r="F44" s="1"/>
      <c r="G44" s="12">
        <f>E44*F44</f>
        <v>0</v>
      </c>
      <c r="M44" s="1">
        <f>1073*$N$42</f>
        <v>997.8900000000001</v>
      </c>
    </row>
    <row r="45" spans="1:14" x14ac:dyDescent="0.3">
      <c r="A45" s="20"/>
      <c r="C45" s="14" t="s">
        <v>50</v>
      </c>
      <c r="E45" s="14"/>
    </row>
    <row r="46" spans="1:14" ht="16.2" x14ac:dyDescent="0.3">
      <c r="A46" s="20"/>
      <c r="B46" s="9"/>
      <c r="C46" s="14" t="s">
        <v>199</v>
      </c>
      <c r="E46" s="14">
        <f>(4+2.28+1+0.9)*3.32</f>
        <v>27.157599999999999</v>
      </c>
      <c r="F46" s="12"/>
      <c r="G46" s="12"/>
      <c r="M46" s="12"/>
    </row>
    <row r="47" spans="1:14" ht="16.2" x14ac:dyDescent="0.3">
      <c r="A47" s="20"/>
      <c r="B47"/>
      <c r="C47" s="14" t="s">
        <v>200</v>
      </c>
      <c r="E47" s="14">
        <f>2.9*3.32</f>
        <v>9.6280000000000001</v>
      </c>
    </row>
    <row r="48" spans="1:14" x14ac:dyDescent="0.3">
      <c r="A48" s="20"/>
      <c r="B48"/>
      <c r="C48" s="14" t="s">
        <v>201</v>
      </c>
      <c r="D48"/>
      <c r="E48" s="14">
        <f>-(1+0.9+0.9+0.8)*2.05</f>
        <v>-7.379999999999999</v>
      </c>
    </row>
    <row r="49" spans="1:13" x14ac:dyDescent="0.3">
      <c r="A49" s="20"/>
      <c r="B49" s="9">
        <f>B44+1</f>
        <v>12</v>
      </c>
      <c r="C49" s="15" t="s">
        <v>202</v>
      </c>
      <c r="D49" s="10" t="s">
        <v>30</v>
      </c>
      <c r="E49" s="11">
        <v>4</v>
      </c>
      <c r="F49" s="1"/>
      <c r="G49" s="12">
        <f>E49*F49</f>
        <v>0</v>
      </c>
      <c r="K49" s="38">
        <f>(633*1.3)+1500</f>
        <v>2322.9</v>
      </c>
      <c r="M49" s="1">
        <f>2420/N42</f>
        <v>2602.1505376344085</v>
      </c>
    </row>
    <row r="50" spans="1:13" x14ac:dyDescent="0.3">
      <c r="A50" s="20"/>
      <c r="C50" s="14" t="s">
        <v>50</v>
      </c>
      <c r="E50" s="14"/>
    </row>
    <row r="51" spans="1:13" x14ac:dyDescent="0.3">
      <c r="A51" s="20"/>
      <c r="B51" s="9"/>
      <c r="C51" s="14" t="s">
        <v>203</v>
      </c>
      <c r="E51" s="14">
        <v>4</v>
      </c>
      <c r="F51" s="12"/>
      <c r="G51" s="12"/>
      <c r="M51" s="12"/>
    </row>
    <row r="52" spans="1:13" x14ac:dyDescent="0.3">
      <c r="A52" s="20"/>
      <c r="B52" s="9">
        <f>B49+1</f>
        <v>13</v>
      </c>
      <c r="C52" s="15" t="s">
        <v>204</v>
      </c>
      <c r="D52" s="10" t="s">
        <v>70</v>
      </c>
      <c r="E52" s="11">
        <v>10</v>
      </c>
      <c r="F52" s="1"/>
      <c r="G52" s="12">
        <f>E52*F52</f>
        <v>0</v>
      </c>
      <c r="K52" s="38">
        <f>4*450+15*120</f>
        <v>3600</v>
      </c>
      <c r="M52" s="1">
        <f>3600/N42</f>
        <v>3870.9677419354834</v>
      </c>
    </row>
    <row r="53" spans="1:13" x14ac:dyDescent="0.3">
      <c r="A53" s="20"/>
      <c r="C53" s="13" t="s">
        <v>311</v>
      </c>
    </row>
    <row r="54" spans="1:13" x14ac:dyDescent="0.3">
      <c r="A54" s="20"/>
      <c r="B54" s="3" t="s">
        <v>33</v>
      </c>
      <c r="C54" s="4" t="s">
        <v>34</v>
      </c>
      <c r="D54" s="5"/>
      <c r="E54" s="6"/>
      <c r="F54" s="7"/>
      <c r="G54" s="8">
        <f>SUM(G55:G212)</f>
        <v>0</v>
      </c>
    </row>
    <row r="55" spans="1:13" ht="16.2" x14ac:dyDescent="0.3">
      <c r="A55" s="20"/>
      <c r="B55" s="9">
        <f>B52+1</f>
        <v>14</v>
      </c>
      <c r="C55" s="15" t="s">
        <v>136</v>
      </c>
      <c r="D55" s="10" t="s">
        <v>36</v>
      </c>
      <c r="E55" s="11">
        <f>SUM(E57:E71)</f>
        <v>507.99</v>
      </c>
      <c r="F55" s="1"/>
      <c r="G55" s="12">
        <f>E55*F55</f>
        <v>0</v>
      </c>
      <c r="K55" s="38">
        <f>45*1.3</f>
        <v>58.5</v>
      </c>
      <c r="M55" s="1">
        <f>60/N42</f>
        <v>64.516129032258064</v>
      </c>
    </row>
    <row r="56" spans="1:13" x14ac:dyDescent="0.3">
      <c r="A56" s="20"/>
      <c r="B56" s="9"/>
      <c r="C56" s="14" t="s">
        <v>50</v>
      </c>
      <c r="E56" s="14"/>
      <c r="F56" s="12"/>
      <c r="G56" s="12"/>
      <c r="M56" s="12"/>
    </row>
    <row r="57" spans="1:13" x14ac:dyDescent="0.3">
      <c r="A57" s="20"/>
      <c r="B57" s="9"/>
      <c r="C57" s="14" t="s">
        <v>82</v>
      </c>
      <c r="E57" s="14">
        <f>11.21</f>
        <v>11.21</v>
      </c>
      <c r="F57" s="12"/>
      <c r="G57" s="12"/>
      <c r="M57" s="12"/>
    </row>
    <row r="58" spans="1:13" x14ac:dyDescent="0.3">
      <c r="A58" s="20"/>
      <c r="B58" s="9"/>
      <c r="C58" s="14" t="s">
        <v>83</v>
      </c>
      <c r="E58" s="14">
        <f>64.65</f>
        <v>64.650000000000006</v>
      </c>
      <c r="F58" s="12"/>
      <c r="G58" s="12"/>
      <c r="M58" s="12"/>
    </row>
    <row r="59" spans="1:13" x14ac:dyDescent="0.3">
      <c r="A59" s="20"/>
      <c r="B59"/>
      <c r="C59" s="14" t="s">
        <v>84</v>
      </c>
      <c r="D59"/>
      <c r="E59" s="14">
        <f>50.81</f>
        <v>50.81</v>
      </c>
    </row>
    <row r="60" spans="1:13" x14ac:dyDescent="0.3">
      <c r="A60" s="20"/>
      <c r="B60"/>
      <c r="C60" s="14" t="s">
        <v>86</v>
      </c>
      <c r="D60"/>
      <c r="E60" s="14">
        <f xml:space="preserve"> 51.48</f>
        <v>51.48</v>
      </c>
    </row>
    <row r="61" spans="1:13" x14ac:dyDescent="0.3">
      <c r="A61" s="20"/>
      <c r="B61"/>
      <c r="C61" s="14" t="s">
        <v>96</v>
      </c>
      <c r="D61"/>
      <c r="E61" s="14">
        <f xml:space="preserve"> 26.73</f>
        <v>26.73</v>
      </c>
    </row>
    <row r="62" spans="1:13" x14ac:dyDescent="0.3">
      <c r="A62" s="20"/>
      <c r="B62"/>
      <c r="C62" s="14" t="s">
        <v>137</v>
      </c>
      <c r="D62"/>
      <c r="E62" s="14">
        <v>1.23</v>
      </c>
    </row>
    <row r="63" spans="1:13" x14ac:dyDescent="0.3">
      <c r="A63" s="20"/>
      <c r="B63"/>
      <c r="C63" s="14" t="s">
        <v>87</v>
      </c>
      <c r="D63"/>
      <c r="E63" s="14">
        <f xml:space="preserve"> 16.04</f>
        <v>16.04</v>
      </c>
    </row>
    <row r="64" spans="1:13" x14ac:dyDescent="0.3">
      <c r="A64" s="20"/>
      <c r="B64"/>
      <c r="C64" s="14" t="s">
        <v>88</v>
      </c>
      <c r="D64"/>
      <c r="E64" s="14">
        <f>15.5</f>
        <v>15.5</v>
      </c>
    </row>
    <row r="65" spans="1:13" x14ac:dyDescent="0.3">
      <c r="A65" s="20"/>
      <c r="B65"/>
      <c r="C65" s="14" t="s">
        <v>89</v>
      </c>
      <c r="D65"/>
      <c r="E65" s="14">
        <f xml:space="preserve"> 53.4</f>
        <v>53.4</v>
      </c>
    </row>
    <row r="66" spans="1:13" x14ac:dyDescent="0.3">
      <c r="A66" s="20"/>
      <c r="B66"/>
      <c r="C66" s="14" t="s">
        <v>90</v>
      </c>
      <c r="D66"/>
      <c r="E66" s="14">
        <f xml:space="preserve"> 52.8</f>
        <v>52.8</v>
      </c>
    </row>
    <row r="67" spans="1:13" x14ac:dyDescent="0.3">
      <c r="A67" s="20"/>
      <c r="B67"/>
      <c r="C67" s="14" t="s">
        <v>91</v>
      </c>
      <c r="D67"/>
      <c r="E67" s="14">
        <f xml:space="preserve"> 12.325</f>
        <v>12.324999999999999</v>
      </c>
    </row>
    <row r="68" spans="1:13" x14ac:dyDescent="0.3">
      <c r="A68" s="20"/>
      <c r="B68"/>
      <c r="C68" s="14" t="s">
        <v>92</v>
      </c>
      <c r="D68"/>
      <c r="E68" s="14">
        <f xml:space="preserve"> 3.72</f>
        <v>3.72</v>
      </c>
    </row>
    <row r="69" spans="1:13" x14ac:dyDescent="0.3">
      <c r="A69" s="20"/>
      <c r="B69"/>
      <c r="C69" s="14" t="s">
        <v>93</v>
      </c>
      <c r="D69"/>
      <c r="E69" s="14">
        <f xml:space="preserve"> 25.7</f>
        <v>25.7</v>
      </c>
    </row>
    <row r="70" spans="1:13" x14ac:dyDescent="0.3">
      <c r="A70" s="20"/>
      <c r="B70"/>
      <c r="C70" s="14" t="s">
        <v>369</v>
      </c>
      <c r="E70" s="14">
        <f xml:space="preserve"> 4.425+46.07+2.68+0.947+0.948+2.68+0.948+0.947+11.65</f>
        <v>71.295000000000002</v>
      </c>
    </row>
    <row r="71" spans="1:13" x14ac:dyDescent="0.3">
      <c r="A71" s="20"/>
      <c r="B71"/>
      <c r="C71" s="14" t="s">
        <v>370</v>
      </c>
      <c r="E71" s="14">
        <f xml:space="preserve"> 3.582+26.9+2.7+3.75+2.22+1.305+1.233+4.35+2.96+1.08+1.02</f>
        <v>51.1</v>
      </c>
    </row>
    <row r="72" spans="1:13" ht="16.2" x14ac:dyDescent="0.3">
      <c r="A72" s="20"/>
      <c r="B72" s="9">
        <f>B55+1</f>
        <v>15</v>
      </c>
      <c r="C72" s="15" t="s">
        <v>138</v>
      </c>
      <c r="D72" s="10" t="s">
        <v>36</v>
      </c>
      <c r="E72" s="11">
        <f>SUM(E74:E90)</f>
        <v>1341.3319999999999</v>
      </c>
      <c r="F72" s="1"/>
      <c r="G72" s="12">
        <f>E72*F72</f>
        <v>0</v>
      </c>
      <c r="M72" s="1">
        <f>53/N42</f>
        <v>56.989247311827953</v>
      </c>
    </row>
    <row r="73" spans="1:13" x14ac:dyDescent="0.3">
      <c r="A73" s="20"/>
      <c r="B73"/>
      <c r="C73" s="14" t="s">
        <v>50</v>
      </c>
      <c r="E73" s="14"/>
    </row>
    <row r="74" spans="1:13" x14ac:dyDescent="0.3">
      <c r="A74" s="20"/>
      <c r="B74"/>
      <c r="C74" s="14" t="s">
        <v>139</v>
      </c>
      <c r="E74" s="14">
        <v>42.05</v>
      </c>
    </row>
    <row r="75" spans="1:13" x14ac:dyDescent="0.3">
      <c r="A75" s="20"/>
      <c r="B75"/>
      <c r="C75" s="14" t="s">
        <v>140</v>
      </c>
      <c r="E75" s="14">
        <v>136.50299999999999</v>
      </c>
    </row>
    <row r="76" spans="1:13" x14ac:dyDescent="0.3">
      <c r="A76" s="20"/>
      <c r="B76"/>
      <c r="C76" s="14" t="s">
        <v>141</v>
      </c>
      <c r="D76"/>
      <c r="E76" s="14">
        <v>93.506</v>
      </c>
    </row>
    <row r="77" spans="1:13" x14ac:dyDescent="0.3">
      <c r="A77" s="20"/>
      <c r="B77"/>
      <c r="C77" s="14" t="s">
        <v>142</v>
      </c>
      <c r="D77"/>
      <c r="E77" s="14">
        <v>93.131</v>
      </c>
    </row>
    <row r="78" spans="1:13" x14ac:dyDescent="0.3">
      <c r="A78" s="20"/>
      <c r="B78"/>
      <c r="C78" s="14" t="s">
        <v>143</v>
      </c>
      <c r="D78"/>
      <c r="E78" s="14">
        <v>81.554000000000002</v>
      </c>
    </row>
    <row r="79" spans="1:13" x14ac:dyDescent="0.3">
      <c r="A79" s="20"/>
      <c r="B79"/>
      <c r="C79" s="14" t="s">
        <v>144</v>
      </c>
      <c r="D79"/>
      <c r="E79" s="14">
        <v>8.4570000000000007</v>
      </c>
    </row>
    <row r="80" spans="1:13" x14ac:dyDescent="0.3">
      <c r="A80" s="20"/>
      <c r="B80"/>
      <c r="C80" s="14" t="s">
        <v>145</v>
      </c>
      <c r="D80"/>
      <c r="E80" s="14">
        <v>39.17</v>
      </c>
    </row>
    <row r="81" spans="1:13" x14ac:dyDescent="0.3">
      <c r="A81" s="20"/>
      <c r="B81"/>
      <c r="C81" s="14" t="s">
        <v>146</v>
      </c>
      <c r="D81"/>
      <c r="E81" s="14">
        <v>55.024999999999999</v>
      </c>
    </row>
    <row r="82" spans="1:13" x14ac:dyDescent="0.3">
      <c r="A82" s="20"/>
      <c r="B82"/>
      <c r="C82" s="14" t="s">
        <v>147</v>
      </c>
      <c r="D82"/>
      <c r="E82" s="14">
        <v>91.605999999999995</v>
      </c>
    </row>
    <row r="83" spans="1:13" x14ac:dyDescent="0.3">
      <c r="A83" s="20"/>
      <c r="B83"/>
      <c r="C83" s="14" t="s">
        <v>148</v>
      </c>
      <c r="D83"/>
      <c r="E83" s="14">
        <v>82.132000000000005</v>
      </c>
    </row>
    <row r="84" spans="1:13" x14ac:dyDescent="0.3">
      <c r="A84" s="20"/>
      <c r="B84"/>
      <c r="C84" s="14" t="s">
        <v>149</v>
      </c>
      <c r="D84"/>
      <c r="E84" s="14">
        <v>44.779000000000003</v>
      </c>
    </row>
    <row r="85" spans="1:13" x14ac:dyDescent="0.3">
      <c r="A85" s="20"/>
      <c r="B85"/>
      <c r="C85" s="14" t="s">
        <v>150</v>
      </c>
      <c r="D85"/>
      <c r="E85" s="14">
        <v>21.625</v>
      </c>
    </row>
    <row r="86" spans="1:13" x14ac:dyDescent="0.3">
      <c r="A86" s="20"/>
      <c r="B86"/>
      <c r="C86" s="14" t="s">
        <v>151</v>
      </c>
      <c r="D86"/>
      <c r="E86" s="14">
        <v>60.53</v>
      </c>
    </row>
    <row r="87" spans="1:13" x14ac:dyDescent="0.3">
      <c r="A87" s="20"/>
      <c r="B87"/>
      <c r="C87" s="14" t="s">
        <v>371</v>
      </c>
      <c r="E87" s="14">
        <f xml:space="preserve"> 23.353+154.834+17.336+11.744+11.744+17.546+11.744+11.744+64.67</f>
        <v>324.71500000000003</v>
      </c>
    </row>
    <row r="88" spans="1:13" x14ac:dyDescent="0.3">
      <c r="A88" s="20"/>
      <c r="B88"/>
      <c r="C88" s="14" t="s">
        <v>372</v>
      </c>
      <c r="D88"/>
      <c r="E88" s="14">
        <f>-(1.47+3.9+4.92+4.905+4.92+4.905)</f>
        <v>-25.020000000000003</v>
      </c>
    </row>
    <row r="89" spans="1:13" x14ac:dyDescent="0.3">
      <c r="A89" s="20"/>
      <c r="B89"/>
      <c r="C89" s="14" t="s">
        <v>373</v>
      </c>
      <c r="E89" s="14">
        <f xml:space="preserve"> 14.386+97.703+18+22.135+13.585+12.395+12.1+23.04+15.945+10.92+10.625</f>
        <v>250.83399999999997</v>
      </c>
    </row>
    <row r="90" spans="1:13" x14ac:dyDescent="0.3">
      <c r="A90" s="20"/>
      <c r="B90"/>
      <c r="C90" s="14" t="s">
        <v>374</v>
      </c>
      <c r="D90"/>
      <c r="E90" s="14">
        <f>-(12.39+7.35+8.4+8.19+8.55+7.35+7.035)</f>
        <v>-59.265000000000001</v>
      </c>
    </row>
    <row r="91" spans="1:13" x14ac:dyDescent="0.3">
      <c r="A91" s="20"/>
      <c r="B91" s="9">
        <f>B72+1</f>
        <v>16</v>
      </c>
      <c r="C91" s="15" t="s">
        <v>152</v>
      </c>
      <c r="D91" s="10" t="s">
        <v>17</v>
      </c>
      <c r="E91" s="11">
        <v>35</v>
      </c>
      <c r="F91" s="1"/>
      <c r="G91" s="12">
        <f>E91*F91</f>
        <v>0</v>
      </c>
      <c r="M91" s="1">
        <f>340/N42</f>
        <v>365.59139784946234</v>
      </c>
    </row>
    <row r="92" spans="1:13" x14ac:dyDescent="0.3">
      <c r="A92" s="20"/>
      <c r="C92" s="17" t="s">
        <v>153</v>
      </c>
    </row>
    <row r="93" spans="1:13" x14ac:dyDescent="0.3">
      <c r="A93" s="20"/>
      <c r="B93" s="9">
        <f>B91+1</f>
        <v>17</v>
      </c>
      <c r="C93" s="15" t="s">
        <v>154</v>
      </c>
      <c r="D93" s="10" t="s">
        <v>70</v>
      </c>
      <c r="E93" s="11">
        <v>1</v>
      </c>
      <c r="F93" s="1"/>
      <c r="G93" s="12">
        <f>E93*F93</f>
        <v>0</v>
      </c>
      <c r="K93" s="38">
        <f>5*8*1*550*1.25</f>
        <v>27500</v>
      </c>
      <c r="M93" s="1">
        <f>27500/N42</f>
        <v>29569.892473118278</v>
      </c>
    </row>
    <row r="94" spans="1:13" x14ac:dyDescent="0.3">
      <c r="A94" s="20"/>
      <c r="C94" s="17" t="s">
        <v>155</v>
      </c>
    </row>
    <row r="95" spans="1:13" ht="16.2" x14ac:dyDescent="0.3">
      <c r="A95" s="20"/>
      <c r="B95" s="9">
        <f>B93+1</f>
        <v>18</v>
      </c>
      <c r="C95" s="15" t="s">
        <v>156</v>
      </c>
      <c r="D95" s="10" t="s">
        <v>36</v>
      </c>
      <c r="E95" s="11">
        <f>SUM(E98:E115)</f>
        <v>1958.1270000000002</v>
      </c>
      <c r="F95" s="1"/>
      <c r="G95" s="12">
        <f>E95*F95</f>
        <v>0</v>
      </c>
      <c r="K95" s="38">
        <f>70*1.25</f>
        <v>87.5</v>
      </c>
      <c r="M95" s="1">
        <f>88/N42</f>
        <v>94.623655913978496</v>
      </c>
    </row>
    <row r="96" spans="1:13" x14ac:dyDescent="0.3">
      <c r="A96" s="20"/>
      <c r="C96" s="17" t="s">
        <v>157</v>
      </c>
    </row>
    <row r="97" spans="1:5" x14ac:dyDescent="0.3">
      <c r="A97" s="20"/>
      <c r="C97" s="14" t="s">
        <v>117</v>
      </c>
      <c r="E97" s="14"/>
    </row>
    <row r="98" spans="1:5" x14ac:dyDescent="0.3">
      <c r="A98" s="20"/>
      <c r="C98" s="14" t="s">
        <v>118</v>
      </c>
      <c r="E98" s="14">
        <f>11.21+42.05</f>
        <v>53.26</v>
      </c>
    </row>
    <row r="99" spans="1:5" x14ac:dyDescent="0.3">
      <c r="A99" s="20"/>
      <c r="C99" s="14" t="s">
        <v>119</v>
      </c>
      <c r="E99" s="14">
        <f>64.65+136.503</f>
        <v>201.15299999999999</v>
      </c>
    </row>
    <row r="100" spans="1:5" x14ac:dyDescent="0.3">
      <c r="A100" s="20"/>
      <c r="C100" s="14" t="s">
        <v>120</v>
      </c>
      <c r="D100"/>
      <c r="E100" s="14">
        <f>50.81+93.506</f>
        <v>144.316</v>
      </c>
    </row>
    <row r="101" spans="1:5" x14ac:dyDescent="0.3">
      <c r="A101" s="20"/>
      <c r="C101" s="14" t="s">
        <v>121</v>
      </c>
      <c r="D101"/>
      <c r="E101" s="14">
        <f xml:space="preserve"> 51.48+93.131</f>
        <v>144.61099999999999</v>
      </c>
    </row>
    <row r="102" spans="1:5" x14ac:dyDescent="0.3">
      <c r="A102" s="20"/>
      <c r="C102" s="14" t="s">
        <v>158</v>
      </c>
      <c r="D102"/>
      <c r="E102" s="14">
        <f xml:space="preserve"> 26.73+88.604</f>
        <v>115.334</v>
      </c>
    </row>
    <row r="103" spans="1:5" x14ac:dyDescent="0.3">
      <c r="A103" s="20"/>
      <c r="C103" s="14" t="s">
        <v>159</v>
      </c>
      <c r="D103"/>
      <c r="E103" s="14">
        <v>15.391</v>
      </c>
    </row>
    <row r="104" spans="1:5" x14ac:dyDescent="0.3">
      <c r="A104" s="20"/>
      <c r="C104" s="14" t="s">
        <v>160</v>
      </c>
      <c r="D104"/>
      <c r="E104" s="14">
        <v>26.696999999999999</v>
      </c>
    </row>
    <row r="105" spans="1:5" x14ac:dyDescent="0.3">
      <c r="A105" s="20"/>
      <c r="B105"/>
      <c r="C105" s="14" t="s">
        <v>161</v>
      </c>
      <c r="D105"/>
      <c r="E105" s="14">
        <v>67.724000000000004</v>
      </c>
    </row>
    <row r="106" spans="1:5" x14ac:dyDescent="0.3">
      <c r="A106" s="20"/>
      <c r="B106"/>
      <c r="C106" s="14" t="s">
        <v>125</v>
      </c>
      <c r="D106"/>
      <c r="E106" s="14">
        <f>15.5+55.025</f>
        <v>70.525000000000006</v>
      </c>
    </row>
    <row r="107" spans="1:5" x14ac:dyDescent="0.3">
      <c r="A107" s="20"/>
      <c r="B107"/>
      <c r="C107" s="14" t="s">
        <v>126</v>
      </c>
      <c r="D107"/>
      <c r="E107" s="14">
        <f xml:space="preserve"> 53.4+91.606</f>
        <v>145.006</v>
      </c>
    </row>
    <row r="108" spans="1:5" x14ac:dyDescent="0.3">
      <c r="A108" s="20"/>
      <c r="B108"/>
      <c r="C108" s="14" t="s">
        <v>127</v>
      </c>
      <c r="D108"/>
      <c r="E108" s="14">
        <f xml:space="preserve"> 52.8+82.132</f>
        <v>134.93200000000002</v>
      </c>
    </row>
    <row r="109" spans="1:5" x14ac:dyDescent="0.3">
      <c r="A109" s="20"/>
      <c r="B109"/>
      <c r="C109" s="14" t="s">
        <v>128</v>
      </c>
      <c r="D109"/>
      <c r="E109" s="14">
        <f xml:space="preserve"> 12.325+44.779</f>
        <v>57.103999999999999</v>
      </c>
    </row>
    <row r="110" spans="1:5" x14ac:dyDescent="0.3">
      <c r="A110" s="20"/>
      <c r="B110"/>
      <c r="C110" s="14" t="s">
        <v>129</v>
      </c>
      <c r="D110"/>
      <c r="E110" s="14">
        <f xml:space="preserve"> 3.72+21.625</f>
        <v>25.344999999999999</v>
      </c>
    </row>
    <row r="111" spans="1:5" x14ac:dyDescent="0.3">
      <c r="A111" s="20"/>
      <c r="B111"/>
      <c r="C111" s="14" t="s">
        <v>130</v>
      </c>
      <c r="D111"/>
      <c r="E111" s="14">
        <f xml:space="preserve"> 25.7+60.53</f>
        <v>86.23</v>
      </c>
    </row>
    <row r="112" spans="1:5" x14ac:dyDescent="0.3">
      <c r="A112" s="20"/>
      <c r="B112"/>
      <c r="C112" s="14" t="s">
        <v>375</v>
      </c>
      <c r="E112" s="14">
        <f xml:space="preserve"> 4.425+40.74+2.68+0.947+0.948+2.68+0.948+0.947+11.65</f>
        <v>65.965000000000003</v>
      </c>
    </row>
    <row r="113" spans="1:13" x14ac:dyDescent="0.3">
      <c r="A113" s="20"/>
      <c r="B113"/>
      <c r="C113" s="14" t="s">
        <v>376</v>
      </c>
      <c r="E113" s="14">
        <f xml:space="preserve"> 23.353+132.719+17.336+11.744+11.744+17.546+11.744+11.744+64.67</f>
        <v>302.60000000000002</v>
      </c>
    </row>
    <row r="114" spans="1:13" x14ac:dyDescent="0.3">
      <c r="A114" s="20"/>
      <c r="B114"/>
      <c r="C114" s="14" t="s">
        <v>377</v>
      </c>
      <c r="E114" s="14">
        <f xml:space="preserve"> 3.582+26.9+2.7+3.75+2.22+1.305+1.233+4.35+2.96+1.08+1.02</f>
        <v>51.1</v>
      </c>
    </row>
    <row r="115" spans="1:13" x14ac:dyDescent="0.3">
      <c r="A115" s="20"/>
      <c r="B115"/>
      <c r="C115" s="14" t="s">
        <v>378</v>
      </c>
      <c r="E115" s="14">
        <f xml:space="preserve"> 14.386+97.703+18+22.135+13.585+12.395+12.1+23.04+15.945+10.92+10.625</f>
        <v>250.83399999999997</v>
      </c>
    </row>
    <row r="116" spans="1:13" ht="16.2" x14ac:dyDescent="0.3">
      <c r="A116" s="20"/>
      <c r="B116" s="9">
        <f>B95+1</f>
        <v>19</v>
      </c>
      <c r="C116" s="15" t="s">
        <v>162</v>
      </c>
      <c r="D116" s="10" t="s">
        <v>36</v>
      </c>
      <c r="E116" s="11">
        <f>SUM(E119:E136)</f>
        <v>1958.1270000000002</v>
      </c>
      <c r="F116" s="1"/>
      <c r="G116" s="12">
        <f>E116*F116</f>
        <v>0</v>
      </c>
      <c r="K116" s="38">
        <f>78*1.3</f>
        <v>101.4</v>
      </c>
      <c r="M116" s="1">
        <f>102/N42</f>
        <v>109.6774193548387</v>
      </c>
    </row>
    <row r="117" spans="1:13" x14ac:dyDescent="0.3">
      <c r="A117" s="20"/>
      <c r="C117" s="17" t="s">
        <v>163</v>
      </c>
    </row>
    <row r="118" spans="1:13" x14ac:dyDescent="0.3">
      <c r="A118" s="20"/>
      <c r="C118" s="14" t="s">
        <v>117</v>
      </c>
      <c r="E118" s="14"/>
    </row>
    <row r="119" spans="1:13" x14ac:dyDescent="0.3">
      <c r="A119" s="20"/>
      <c r="C119" s="14" t="s">
        <v>118</v>
      </c>
      <c r="E119" s="14">
        <f>11.21+42.05</f>
        <v>53.26</v>
      </c>
    </row>
    <row r="120" spans="1:13" x14ac:dyDescent="0.3">
      <c r="A120" s="20"/>
      <c r="C120" s="14" t="s">
        <v>119</v>
      </c>
      <c r="E120" s="14">
        <f>64.65+136.503</f>
        <v>201.15299999999999</v>
      </c>
    </row>
    <row r="121" spans="1:13" x14ac:dyDescent="0.3">
      <c r="A121" s="20"/>
      <c r="C121" s="14" t="s">
        <v>120</v>
      </c>
      <c r="D121"/>
      <c r="E121" s="14">
        <f>50.81+93.506</f>
        <v>144.316</v>
      </c>
    </row>
    <row r="122" spans="1:13" x14ac:dyDescent="0.3">
      <c r="A122" s="20"/>
      <c r="C122" s="14" t="s">
        <v>121</v>
      </c>
      <c r="D122"/>
      <c r="E122" s="14">
        <f xml:space="preserve"> 51.48+93.131</f>
        <v>144.61099999999999</v>
      </c>
    </row>
    <row r="123" spans="1:13" x14ac:dyDescent="0.3">
      <c r="A123" s="20"/>
      <c r="C123" s="14" t="s">
        <v>158</v>
      </c>
      <c r="D123"/>
      <c r="E123" s="14">
        <f xml:space="preserve"> 26.73+88.604</f>
        <v>115.334</v>
      </c>
    </row>
    <row r="124" spans="1:13" x14ac:dyDescent="0.3">
      <c r="A124" s="20"/>
      <c r="C124" s="14" t="s">
        <v>159</v>
      </c>
      <c r="D124"/>
      <c r="E124" s="14">
        <v>15.391</v>
      </c>
    </row>
    <row r="125" spans="1:13" x14ac:dyDescent="0.3">
      <c r="A125" s="20"/>
      <c r="C125" s="14" t="s">
        <v>160</v>
      </c>
      <c r="D125"/>
      <c r="E125" s="14">
        <v>26.696999999999999</v>
      </c>
    </row>
    <row r="126" spans="1:13" x14ac:dyDescent="0.3">
      <c r="A126" s="20"/>
      <c r="B126"/>
      <c r="C126" s="14" t="s">
        <v>161</v>
      </c>
      <c r="D126"/>
      <c r="E126" s="14">
        <v>67.724000000000004</v>
      </c>
    </row>
    <row r="127" spans="1:13" x14ac:dyDescent="0.3">
      <c r="A127" s="20"/>
      <c r="B127"/>
      <c r="C127" s="14" t="s">
        <v>125</v>
      </c>
      <c r="D127"/>
      <c r="E127" s="14">
        <f>15.5+55.025</f>
        <v>70.525000000000006</v>
      </c>
    </row>
    <row r="128" spans="1:13" x14ac:dyDescent="0.3">
      <c r="A128" s="20"/>
      <c r="B128"/>
      <c r="C128" s="14" t="s">
        <v>126</v>
      </c>
      <c r="D128"/>
      <c r="E128" s="14">
        <f xml:space="preserve"> 53.4+91.606</f>
        <v>145.006</v>
      </c>
    </row>
    <row r="129" spans="1:13" x14ac:dyDescent="0.3">
      <c r="A129" s="20"/>
      <c r="B129"/>
      <c r="C129" s="14" t="s">
        <v>127</v>
      </c>
      <c r="D129"/>
      <c r="E129" s="14">
        <f xml:space="preserve"> 52.8+82.132</f>
        <v>134.93200000000002</v>
      </c>
    </row>
    <row r="130" spans="1:13" x14ac:dyDescent="0.3">
      <c r="A130" s="20"/>
      <c r="B130"/>
      <c r="C130" s="14" t="s">
        <v>128</v>
      </c>
      <c r="D130"/>
      <c r="E130" s="14">
        <f xml:space="preserve"> 12.325+44.779</f>
        <v>57.103999999999999</v>
      </c>
    </row>
    <row r="131" spans="1:13" x14ac:dyDescent="0.3">
      <c r="A131" s="20"/>
      <c r="B131"/>
      <c r="C131" s="14" t="s">
        <v>129</v>
      </c>
      <c r="D131"/>
      <c r="E131" s="14">
        <f xml:space="preserve"> 3.72+21.625</f>
        <v>25.344999999999999</v>
      </c>
    </row>
    <row r="132" spans="1:13" x14ac:dyDescent="0.3">
      <c r="A132" s="20"/>
      <c r="B132"/>
      <c r="C132" s="14" t="s">
        <v>130</v>
      </c>
      <c r="D132"/>
      <c r="E132" s="14">
        <f xml:space="preserve"> 25.7+60.53</f>
        <v>86.23</v>
      </c>
    </row>
    <row r="133" spans="1:13" x14ac:dyDescent="0.3">
      <c r="A133" s="20"/>
      <c r="B133"/>
      <c r="C133" s="14" t="s">
        <v>379</v>
      </c>
      <c r="E133" s="14">
        <f xml:space="preserve"> 4.425+40.74+2.68+0.947+0.948+2.68+0.948+0.947+11.65</f>
        <v>65.965000000000003</v>
      </c>
    </row>
    <row r="134" spans="1:13" x14ac:dyDescent="0.3">
      <c r="A134" s="20"/>
      <c r="B134"/>
      <c r="C134" s="14" t="s">
        <v>380</v>
      </c>
      <c r="E134" s="14">
        <f xml:space="preserve"> 23.353+132.719+17.336+11.744+11.744+17.546+11.744+11.744+64.67</f>
        <v>302.60000000000002</v>
      </c>
    </row>
    <row r="135" spans="1:13" x14ac:dyDescent="0.3">
      <c r="A135" s="20"/>
      <c r="B135"/>
      <c r="C135" s="14" t="s">
        <v>381</v>
      </c>
      <c r="E135" s="14">
        <f xml:space="preserve"> 3.582+26.9+2.7+3.75+2.22+1.305+1.233+4.35+2.96+1.08+1.02</f>
        <v>51.1</v>
      </c>
    </row>
    <row r="136" spans="1:13" x14ac:dyDescent="0.3">
      <c r="A136" s="20"/>
      <c r="B136"/>
      <c r="C136" s="14" t="s">
        <v>382</v>
      </c>
      <c r="E136" s="14">
        <f xml:space="preserve"> 14.386+97.703+18+22.135+13.585+12.395+12.1+23.04+15.945+10.92+10.625</f>
        <v>250.83399999999997</v>
      </c>
    </row>
    <row r="137" spans="1:13" ht="16.2" x14ac:dyDescent="0.3">
      <c r="A137" s="20"/>
      <c r="B137" s="9">
        <f>B116+1</f>
        <v>20</v>
      </c>
      <c r="C137" s="15" t="s">
        <v>164</v>
      </c>
      <c r="D137" s="10" t="s">
        <v>36</v>
      </c>
      <c r="E137" s="11">
        <f>SUM(E140:E155)</f>
        <v>1451.8749999999998</v>
      </c>
      <c r="F137" s="1"/>
      <c r="G137" s="12">
        <f>E137*F137</f>
        <v>0</v>
      </c>
      <c r="K137" s="38">
        <f>(40+40+40+200)*1.3</f>
        <v>416</v>
      </c>
      <c r="M137" s="1">
        <f>455/N42</f>
        <v>489.24731182795699</v>
      </c>
    </row>
    <row r="138" spans="1:13" ht="28.8" x14ac:dyDescent="0.3">
      <c r="A138" s="20"/>
      <c r="C138" s="13" t="s">
        <v>165</v>
      </c>
    </row>
    <row r="139" spans="1:13" x14ac:dyDescent="0.3">
      <c r="A139" s="20"/>
      <c r="B139"/>
      <c r="C139" s="14" t="s">
        <v>50</v>
      </c>
      <c r="E139" s="14"/>
    </row>
    <row r="140" spans="1:13" x14ac:dyDescent="0.3">
      <c r="A140" s="20"/>
      <c r="B140"/>
      <c r="C140" s="14" t="s">
        <v>139</v>
      </c>
      <c r="E140" s="14">
        <v>42.05</v>
      </c>
    </row>
    <row r="141" spans="1:13" x14ac:dyDescent="0.3">
      <c r="A141" s="20"/>
      <c r="B141"/>
      <c r="C141" s="14" t="s">
        <v>140</v>
      </c>
      <c r="E141" s="14">
        <v>136.50299999999999</v>
      </c>
    </row>
    <row r="142" spans="1:13" x14ac:dyDescent="0.3">
      <c r="A142" s="20"/>
      <c r="B142"/>
      <c r="C142" s="14" t="s">
        <v>141</v>
      </c>
      <c r="D142"/>
      <c r="E142" s="14">
        <v>93.506</v>
      </c>
    </row>
    <row r="143" spans="1:13" x14ac:dyDescent="0.3">
      <c r="A143" s="20"/>
      <c r="B143"/>
      <c r="C143" s="14" t="s">
        <v>142</v>
      </c>
      <c r="D143"/>
      <c r="E143" s="14">
        <v>93.131</v>
      </c>
    </row>
    <row r="144" spans="1:13" x14ac:dyDescent="0.3">
      <c r="A144" s="20"/>
      <c r="B144"/>
      <c r="C144" s="14" t="s">
        <v>166</v>
      </c>
      <c r="D144"/>
      <c r="E144" s="14">
        <v>88.603999999999999</v>
      </c>
    </row>
    <row r="145" spans="1:13" x14ac:dyDescent="0.3">
      <c r="A145" s="20"/>
      <c r="B145"/>
      <c r="C145" s="14" t="s">
        <v>167</v>
      </c>
      <c r="D145"/>
      <c r="E145" s="14">
        <v>14.057</v>
      </c>
    </row>
    <row r="146" spans="1:13" x14ac:dyDescent="0.3">
      <c r="A146" s="20"/>
      <c r="B146"/>
      <c r="C146" s="14" t="s">
        <v>168</v>
      </c>
      <c r="D146"/>
      <c r="E146" s="14">
        <v>23.209</v>
      </c>
    </row>
    <row r="147" spans="1:13" x14ac:dyDescent="0.3">
      <c r="A147" s="20"/>
      <c r="B147"/>
      <c r="C147" s="14" t="s">
        <v>169</v>
      </c>
      <c r="D147"/>
      <c r="E147" s="14">
        <v>51.683999999999997</v>
      </c>
    </row>
    <row r="148" spans="1:13" x14ac:dyDescent="0.3">
      <c r="A148" s="20"/>
      <c r="B148"/>
      <c r="C148" s="14" t="s">
        <v>146</v>
      </c>
      <c r="D148"/>
      <c r="E148" s="14">
        <v>55.024999999999999</v>
      </c>
    </row>
    <row r="149" spans="1:13" x14ac:dyDescent="0.3">
      <c r="A149" s="20"/>
      <c r="B149"/>
      <c r="C149" s="14" t="s">
        <v>147</v>
      </c>
      <c r="D149"/>
      <c r="E149" s="14">
        <v>91.605999999999995</v>
      </c>
    </row>
    <row r="150" spans="1:13" x14ac:dyDescent="0.3">
      <c r="A150" s="20"/>
      <c r="B150"/>
      <c r="C150" s="14" t="s">
        <v>148</v>
      </c>
      <c r="D150"/>
      <c r="E150" s="14">
        <v>82.132000000000005</v>
      </c>
    </row>
    <row r="151" spans="1:13" x14ac:dyDescent="0.3">
      <c r="A151" s="20"/>
      <c r="B151"/>
      <c r="C151" s="14" t="s">
        <v>149</v>
      </c>
      <c r="D151"/>
      <c r="E151" s="14">
        <v>44.779000000000003</v>
      </c>
    </row>
    <row r="152" spans="1:13" x14ac:dyDescent="0.3">
      <c r="A152" s="20"/>
      <c r="B152"/>
      <c r="C152" s="14" t="s">
        <v>150</v>
      </c>
      <c r="D152"/>
      <c r="E152" s="14">
        <v>21.625</v>
      </c>
    </row>
    <row r="153" spans="1:13" x14ac:dyDescent="0.3">
      <c r="A153" s="20"/>
      <c r="B153"/>
      <c r="C153" s="14" t="s">
        <v>151</v>
      </c>
      <c r="D153"/>
      <c r="E153" s="14">
        <v>60.53</v>
      </c>
    </row>
    <row r="154" spans="1:13" x14ac:dyDescent="0.3">
      <c r="A154" s="20"/>
      <c r="B154"/>
      <c r="C154" s="14" t="s">
        <v>380</v>
      </c>
      <c r="E154" s="14">
        <f xml:space="preserve"> 23.353+132.719+17.336+11.744+11.744+17.546+11.744+11.744+64.67</f>
        <v>302.60000000000002</v>
      </c>
    </row>
    <row r="155" spans="1:13" x14ac:dyDescent="0.3">
      <c r="A155" s="20"/>
      <c r="B155"/>
      <c r="C155" s="14" t="s">
        <v>382</v>
      </c>
      <c r="E155" s="14">
        <f xml:space="preserve"> 14.386+97.703+18+22.135+13.585+12.395+12.1+23.04+15.945+10.92+10.625</f>
        <v>250.83399999999997</v>
      </c>
    </row>
    <row r="156" spans="1:13" ht="16.2" x14ac:dyDescent="0.3">
      <c r="A156" s="20"/>
      <c r="B156" s="9">
        <f>B137+1</f>
        <v>21</v>
      </c>
      <c r="C156" s="15" t="s">
        <v>170</v>
      </c>
      <c r="D156" s="10" t="s">
        <v>36</v>
      </c>
      <c r="E156" s="11">
        <f>SUM(E159:E174)</f>
        <v>506.25200000000007</v>
      </c>
      <c r="F156" s="1"/>
      <c r="G156" s="12">
        <f>E156*F156</f>
        <v>0</v>
      </c>
      <c r="M156" s="1">
        <f>555/N42</f>
        <v>596.77419354838707</v>
      </c>
    </row>
    <row r="157" spans="1:13" ht="28.8" x14ac:dyDescent="0.3">
      <c r="A157" s="20"/>
      <c r="C157" s="13" t="s">
        <v>165</v>
      </c>
    </row>
    <row r="158" spans="1:13" x14ac:dyDescent="0.3">
      <c r="A158" s="20"/>
      <c r="C158" s="14" t="s">
        <v>50</v>
      </c>
      <c r="E158" s="14"/>
    </row>
    <row r="159" spans="1:13" x14ac:dyDescent="0.3">
      <c r="A159" s="20"/>
      <c r="C159" s="14" t="s">
        <v>82</v>
      </c>
      <c r="E159" s="14">
        <f>11.21</f>
        <v>11.21</v>
      </c>
    </row>
    <row r="160" spans="1:13" x14ac:dyDescent="0.3">
      <c r="A160" s="20"/>
      <c r="C160" s="14" t="s">
        <v>83</v>
      </c>
      <c r="E160" s="14">
        <f>64.65</f>
        <v>64.650000000000006</v>
      </c>
    </row>
    <row r="161" spans="1:13" x14ac:dyDescent="0.3">
      <c r="A161" s="20"/>
      <c r="C161" s="14" t="s">
        <v>84</v>
      </c>
      <c r="D161"/>
      <c r="E161" s="14">
        <f>50.81</f>
        <v>50.81</v>
      </c>
    </row>
    <row r="162" spans="1:13" x14ac:dyDescent="0.3">
      <c r="A162" s="20"/>
      <c r="C162" s="14" t="s">
        <v>86</v>
      </c>
      <c r="D162"/>
      <c r="E162" s="14">
        <f xml:space="preserve"> 51.48</f>
        <v>51.48</v>
      </c>
    </row>
    <row r="163" spans="1:13" x14ac:dyDescent="0.3">
      <c r="A163" s="20"/>
      <c r="C163" s="14" t="s">
        <v>96</v>
      </c>
      <c r="D163"/>
      <c r="E163" s="14">
        <f xml:space="preserve"> 26.73</f>
        <v>26.73</v>
      </c>
    </row>
    <row r="164" spans="1:13" x14ac:dyDescent="0.3">
      <c r="A164" s="20"/>
      <c r="C164" s="14" t="s">
        <v>171</v>
      </c>
      <c r="D164"/>
      <c r="E164" s="14">
        <v>1.3340000000000001</v>
      </c>
    </row>
    <row r="165" spans="1:13" x14ac:dyDescent="0.3">
      <c r="A165" s="20"/>
      <c r="C165" s="14" t="s">
        <v>172</v>
      </c>
      <c r="D165"/>
      <c r="E165" s="14">
        <v>3.488</v>
      </c>
    </row>
    <row r="166" spans="1:13" x14ac:dyDescent="0.3">
      <c r="A166" s="20"/>
      <c r="C166" s="14" t="s">
        <v>97</v>
      </c>
      <c r="D166"/>
      <c r="E166" s="14">
        <f xml:space="preserve"> 16.04</f>
        <v>16.04</v>
      </c>
    </row>
    <row r="167" spans="1:13" x14ac:dyDescent="0.3">
      <c r="A167" s="20"/>
      <c r="C167" s="14" t="s">
        <v>88</v>
      </c>
      <c r="D167"/>
      <c r="E167" s="14">
        <f>15.5</f>
        <v>15.5</v>
      </c>
    </row>
    <row r="168" spans="1:13" x14ac:dyDescent="0.3">
      <c r="A168" s="20"/>
      <c r="C168" s="14" t="s">
        <v>89</v>
      </c>
      <c r="D168"/>
      <c r="E168" s="14">
        <f xml:space="preserve"> 53.4</f>
        <v>53.4</v>
      </c>
    </row>
    <row r="169" spans="1:13" x14ac:dyDescent="0.3">
      <c r="A169" s="20"/>
      <c r="C169" s="14" t="s">
        <v>90</v>
      </c>
      <c r="D169"/>
      <c r="E169" s="14">
        <f xml:space="preserve"> 52.8</f>
        <v>52.8</v>
      </c>
    </row>
    <row r="170" spans="1:13" x14ac:dyDescent="0.3">
      <c r="A170" s="20"/>
      <c r="C170" s="14" t="s">
        <v>91</v>
      </c>
      <c r="D170"/>
      <c r="E170" s="14">
        <f xml:space="preserve"> 12.325</f>
        <v>12.324999999999999</v>
      </c>
    </row>
    <row r="171" spans="1:13" x14ac:dyDescent="0.3">
      <c r="A171" s="20"/>
      <c r="C171" s="14" t="s">
        <v>92</v>
      </c>
      <c r="D171"/>
      <c r="E171" s="14">
        <f xml:space="preserve"> 3.72</f>
        <v>3.72</v>
      </c>
    </row>
    <row r="172" spans="1:13" x14ac:dyDescent="0.3">
      <c r="A172" s="20"/>
      <c r="B172"/>
      <c r="C172" s="14" t="s">
        <v>93</v>
      </c>
      <c r="D172"/>
      <c r="E172" s="14">
        <f xml:space="preserve"> 25.7</f>
        <v>25.7</v>
      </c>
    </row>
    <row r="173" spans="1:13" x14ac:dyDescent="0.3">
      <c r="A173" s="20"/>
      <c r="B173"/>
      <c r="C173" s="14" t="s">
        <v>379</v>
      </c>
      <c r="E173" s="14">
        <f xml:space="preserve"> 4.425+40.74+2.68+0.947+0.948+2.68+0.948+0.947+11.65</f>
        <v>65.965000000000003</v>
      </c>
    </row>
    <row r="174" spans="1:13" x14ac:dyDescent="0.3">
      <c r="A174" s="20"/>
      <c r="B174"/>
      <c r="C174" s="14" t="s">
        <v>381</v>
      </c>
      <c r="E174" s="14">
        <f xml:space="preserve"> 3.582+26.9+2.7+3.75+2.22+1.305+1.233+4.35+2.96+1.08+1.02</f>
        <v>51.1</v>
      </c>
    </row>
    <row r="175" spans="1:13" ht="16.2" x14ac:dyDescent="0.3">
      <c r="A175" s="20"/>
      <c r="B175" s="9">
        <f>B156+1</f>
        <v>22</v>
      </c>
      <c r="C175" s="15" t="s">
        <v>173</v>
      </c>
      <c r="D175" s="10" t="s">
        <v>36</v>
      </c>
      <c r="E175" s="11">
        <f>SUM(E177:E192)</f>
        <v>506.25200000000007</v>
      </c>
      <c r="F175" s="1"/>
      <c r="G175" s="12">
        <f>E175*F175</f>
        <v>0</v>
      </c>
      <c r="K175" s="38">
        <f>205*1.3</f>
        <v>266.5</v>
      </c>
      <c r="M175" s="1">
        <f>267/N42</f>
        <v>287.09677419354836</v>
      </c>
    </row>
    <row r="176" spans="1:13" x14ac:dyDescent="0.3">
      <c r="A176" s="20"/>
      <c r="C176" s="14" t="s">
        <v>50</v>
      </c>
      <c r="E176" s="14"/>
    </row>
    <row r="177" spans="1:5" x14ac:dyDescent="0.3">
      <c r="A177" s="20"/>
      <c r="B177"/>
      <c r="C177" s="14" t="s">
        <v>82</v>
      </c>
      <c r="E177" s="14">
        <f>11.21</f>
        <v>11.21</v>
      </c>
    </row>
    <row r="178" spans="1:5" x14ac:dyDescent="0.3">
      <c r="A178" s="20"/>
      <c r="B178"/>
      <c r="C178" s="14" t="s">
        <v>83</v>
      </c>
      <c r="E178" s="14">
        <f>64.65</f>
        <v>64.650000000000006</v>
      </c>
    </row>
    <row r="179" spans="1:5" x14ac:dyDescent="0.3">
      <c r="A179" s="20"/>
      <c r="B179"/>
      <c r="C179" s="14" t="s">
        <v>84</v>
      </c>
      <c r="D179"/>
      <c r="E179" s="14">
        <f>50.81</f>
        <v>50.81</v>
      </c>
    </row>
    <row r="180" spans="1:5" x14ac:dyDescent="0.3">
      <c r="A180" s="20"/>
      <c r="B180"/>
      <c r="C180" s="14" t="s">
        <v>86</v>
      </c>
      <c r="D180"/>
      <c r="E180" s="14">
        <f xml:space="preserve"> 51.48</f>
        <v>51.48</v>
      </c>
    </row>
    <row r="181" spans="1:5" x14ac:dyDescent="0.3">
      <c r="A181" s="20"/>
      <c r="B181"/>
      <c r="C181" s="14" t="s">
        <v>96</v>
      </c>
      <c r="D181"/>
      <c r="E181" s="14">
        <f xml:space="preserve"> 26.73</f>
        <v>26.73</v>
      </c>
    </row>
    <row r="182" spans="1:5" x14ac:dyDescent="0.3">
      <c r="A182" s="20"/>
      <c r="B182"/>
      <c r="C182" s="14" t="s">
        <v>171</v>
      </c>
      <c r="D182"/>
      <c r="E182" s="14">
        <v>1.3340000000000001</v>
      </c>
    </row>
    <row r="183" spans="1:5" x14ac:dyDescent="0.3">
      <c r="A183" s="20"/>
      <c r="B183"/>
      <c r="C183" s="14" t="s">
        <v>172</v>
      </c>
      <c r="D183"/>
      <c r="E183" s="14">
        <v>3.488</v>
      </c>
    </row>
    <row r="184" spans="1:5" x14ac:dyDescent="0.3">
      <c r="A184" s="20"/>
      <c r="B184"/>
      <c r="C184" s="14" t="s">
        <v>97</v>
      </c>
      <c r="D184"/>
      <c r="E184" s="14">
        <f xml:space="preserve"> 16.04</f>
        <v>16.04</v>
      </c>
    </row>
    <row r="185" spans="1:5" x14ac:dyDescent="0.3">
      <c r="A185" s="20"/>
      <c r="B185"/>
      <c r="C185" s="14" t="s">
        <v>88</v>
      </c>
      <c r="D185"/>
      <c r="E185" s="14">
        <f>15.5</f>
        <v>15.5</v>
      </c>
    </row>
    <row r="186" spans="1:5" x14ac:dyDescent="0.3">
      <c r="A186" s="20"/>
      <c r="B186"/>
      <c r="C186" s="14" t="s">
        <v>89</v>
      </c>
      <c r="D186"/>
      <c r="E186" s="14">
        <f xml:space="preserve"> 53.4</f>
        <v>53.4</v>
      </c>
    </row>
    <row r="187" spans="1:5" x14ac:dyDescent="0.3">
      <c r="A187" s="20"/>
      <c r="B187"/>
      <c r="C187" s="14" t="s">
        <v>90</v>
      </c>
      <c r="D187"/>
      <c r="E187" s="14">
        <f xml:space="preserve"> 52.8</f>
        <v>52.8</v>
      </c>
    </row>
    <row r="188" spans="1:5" x14ac:dyDescent="0.3">
      <c r="A188" s="20"/>
      <c r="B188"/>
      <c r="C188" s="14" t="s">
        <v>91</v>
      </c>
      <c r="D188"/>
      <c r="E188" s="14">
        <f xml:space="preserve"> 12.325</f>
        <v>12.324999999999999</v>
      </c>
    </row>
    <row r="189" spans="1:5" x14ac:dyDescent="0.3">
      <c r="A189" s="20"/>
      <c r="B189"/>
      <c r="C189" s="14" t="s">
        <v>92</v>
      </c>
      <c r="D189"/>
      <c r="E189" s="14">
        <f xml:space="preserve"> 3.72</f>
        <v>3.72</v>
      </c>
    </row>
    <row r="190" spans="1:5" x14ac:dyDescent="0.3">
      <c r="A190" s="20"/>
      <c r="B190"/>
      <c r="C190" s="14" t="s">
        <v>93</v>
      </c>
      <c r="D190"/>
      <c r="E190" s="14">
        <f xml:space="preserve"> 25.7</f>
        <v>25.7</v>
      </c>
    </row>
    <row r="191" spans="1:5" x14ac:dyDescent="0.3">
      <c r="A191" s="20"/>
      <c r="B191"/>
      <c r="C191" s="14" t="s">
        <v>379</v>
      </c>
      <c r="E191" s="14">
        <f xml:space="preserve"> 4.425+40.74+2.68+0.947+0.948+2.68+0.948+0.947+11.65</f>
        <v>65.965000000000003</v>
      </c>
    </row>
    <row r="192" spans="1:5" x14ac:dyDescent="0.3">
      <c r="A192" s="20"/>
      <c r="B192"/>
      <c r="C192" s="14" t="s">
        <v>381</v>
      </c>
      <c r="E192" s="14">
        <f xml:space="preserve"> 3.582+26.9+2.7+3.75+2.22+1.305+1.233+4.35+2.96+1.08+1.02</f>
        <v>51.1</v>
      </c>
    </row>
    <row r="193" spans="1:13" ht="16.2" x14ac:dyDescent="0.3">
      <c r="A193" s="20"/>
      <c r="B193" s="9">
        <f>B175+1</f>
        <v>23</v>
      </c>
      <c r="C193" s="15" t="s">
        <v>174</v>
      </c>
      <c r="D193" s="10" t="s">
        <v>36</v>
      </c>
      <c r="E193" s="11">
        <f>SUM(E195:E212)</f>
        <v>1327.028</v>
      </c>
      <c r="F193" s="1"/>
      <c r="G193" s="12">
        <f>E193*F193</f>
        <v>0</v>
      </c>
      <c r="M193" s="1">
        <f>237/N42</f>
        <v>254.83870967741933</v>
      </c>
    </row>
    <row r="194" spans="1:13" x14ac:dyDescent="0.3">
      <c r="A194" s="20"/>
      <c r="C194" s="14" t="s">
        <v>50</v>
      </c>
      <c r="E194" s="14"/>
    </row>
    <row r="195" spans="1:13" x14ac:dyDescent="0.3">
      <c r="A195" s="20"/>
      <c r="B195"/>
      <c r="C195" s="14" t="s">
        <v>175</v>
      </c>
      <c r="E195" s="14">
        <v>42.05</v>
      </c>
    </row>
    <row r="196" spans="1:13" x14ac:dyDescent="0.3">
      <c r="A196" s="20"/>
      <c r="B196"/>
      <c r="C196" s="14" t="s">
        <v>140</v>
      </c>
      <c r="E196" s="14">
        <v>136.50299999999999</v>
      </c>
    </row>
    <row r="197" spans="1:13" x14ac:dyDescent="0.3">
      <c r="A197" s="20"/>
      <c r="B197"/>
      <c r="C197" s="14" t="s">
        <v>141</v>
      </c>
      <c r="D197"/>
      <c r="E197" s="14">
        <v>93.506</v>
      </c>
    </row>
    <row r="198" spans="1:13" x14ac:dyDescent="0.3">
      <c r="A198" s="20"/>
      <c r="B198"/>
      <c r="C198" s="14" t="s">
        <v>142</v>
      </c>
      <c r="D198"/>
      <c r="E198" s="14">
        <v>93.131</v>
      </c>
    </row>
    <row r="199" spans="1:13" x14ac:dyDescent="0.3">
      <c r="A199" s="20"/>
      <c r="B199"/>
      <c r="C199" s="14" t="s">
        <v>176</v>
      </c>
      <c r="D199"/>
      <c r="E199" s="14">
        <v>78.102000000000004</v>
      </c>
    </row>
    <row r="200" spans="1:13" x14ac:dyDescent="0.3">
      <c r="A200" s="20"/>
      <c r="B200"/>
      <c r="C200" s="14" t="s">
        <v>177</v>
      </c>
      <c r="D200"/>
      <c r="E200" s="14">
        <v>5.7830000000000004</v>
      </c>
    </row>
    <row r="201" spans="1:13" x14ac:dyDescent="0.3">
      <c r="A201" s="20"/>
      <c r="B201"/>
      <c r="C201" s="14" t="s">
        <v>178</v>
      </c>
      <c r="D201"/>
      <c r="E201" s="14">
        <v>9.2230000000000008</v>
      </c>
    </row>
    <row r="202" spans="1:13" x14ac:dyDescent="0.3">
      <c r="A202" s="20"/>
      <c r="B202"/>
      <c r="C202" s="14" t="s">
        <v>169</v>
      </c>
      <c r="D202"/>
      <c r="E202" s="14">
        <v>51.683999999999997</v>
      </c>
    </row>
    <row r="203" spans="1:13" x14ac:dyDescent="0.3">
      <c r="A203" s="20"/>
      <c r="B203"/>
      <c r="C203" s="14" t="s">
        <v>146</v>
      </c>
      <c r="D203"/>
      <c r="E203" s="14">
        <v>55.024999999999999</v>
      </c>
    </row>
    <row r="204" spans="1:13" x14ac:dyDescent="0.3">
      <c r="A204" s="20"/>
      <c r="B204"/>
      <c r="C204" s="14" t="s">
        <v>147</v>
      </c>
      <c r="D204"/>
      <c r="E204" s="14">
        <v>91.605999999999995</v>
      </c>
    </row>
    <row r="205" spans="1:13" x14ac:dyDescent="0.3">
      <c r="A205" s="20"/>
      <c r="B205"/>
      <c r="C205" s="14" t="s">
        <v>148</v>
      </c>
      <c r="D205"/>
      <c r="E205" s="14">
        <v>82.132000000000005</v>
      </c>
    </row>
    <row r="206" spans="1:13" x14ac:dyDescent="0.3">
      <c r="A206" s="20"/>
      <c r="B206"/>
      <c r="C206" s="14" t="s">
        <v>149</v>
      </c>
      <c r="D206"/>
      <c r="E206" s="14">
        <v>44.779000000000003</v>
      </c>
    </row>
    <row r="207" spans="1:13" x14ac:dyDescent="0.3">
      <c r="A207" s="20"/>
      <c r="B207"/>
      <c r="C207" s="14" t="s">
        <v>150</v>
      </c>
      <c r="D207"/>
      <c r="E207" s="14">
        <v>21.625</v>
      </c>
    </row>
    <row r="208" spans="1:13" x14ac:dyDescent="0.3">
      <c r="A208" s="20"/>
      <c r="B208"/>
      <c r="C208" s="14" t="s">
        <v>151</v>
      </c>
      <c r="D208"/>
      <c r="E208" s="14">
        <v>60.53</v>
      </c>
    </row>
    <row r="209" spans="1:13" x14ac:dyDescent="0.3">
      <c r="A209" s="20"/>
      <c r="B209"/>
      <c r="C209" s="14" t="s">
        <v>376</v>
      </c>
      <c r="E209" s="14">
        <f xml:space="preserve"> 23.353+132.719+17.336+11.744+11.744+17.546+11.744+11.744+64.67</f>
        <v>302.60000000000002</v>
      </c>
    </row>
    <row r="210" spans="1:13" x14ac:dyDescent="0.3">
      <c r="A210" s="20"/>
      <c r="B210"/>
      <c r="C210" s="14" t="s">
        <v>378</v>
      </c>
      <c r="E210" s="14">
        <f xml:space="preserve"> 14.386+97.703+18+22.135+13.585+12.395+12.1+23.04+15.945+10.92+10.625</f>
        <v>250.83399999999997</v>
      </c>
    </row>
    <row r="211" spans="1:13" x14ac:dyDescent="0.3">
      <c r="A211" s="20"/>
      <c r="B211"/>
      <c r="C211" s="14" t="s">
        <v>383</v>
      </c>
      <c r="D211"/>
      <c r="E211" s="14">
        <v>-32.82</v>
      </c>
    </row>
    <row r="212" spans="1:13" x14ac:dyDescent="0.3">
      <c r="A212" s="20"/>
      <c r="B212"/>
      <c r="C212" s="14" t="s">
        <v>384</v>
      </c>
      <c r="D212"/>
      <c r="E212" s="14">
        <v>-59.265000000000001</v>
      </c>
    </row>
    <row r="213" spans="1:13" x14ac:dyDescent="0.3">
      <c r="A213" s="20"/>
      <c r="B213" s="3" t="s">
        <v>39</v>
      </c>
      <c r="C213" s="4" t="s">
        <v>40</v>
      </c>
      <c r="D213" s="5"/>
      <c r="E213" s="6"/>
      <c r="F213" s="7"/>
      <c r="G213" s="8">
        <f>SUM(G214:G275)</f>
        <v>0</v>
      </c>
    </row>
    <row r="214" spans="1:13" x14ac:dyDescent="0.3">
      <c r="A214" s="20"/>
      <c r="B214" s="9">
        <f>B193+1</f>
        <v>24</v>
      </c>
      <c r="C214" s="15" t="s">
        <v>186</v>
      </c>
      <c r="D214" s="10" t="s">
        <v>17</v>
      </c>
      <c r="E214" s="11">
        <f>SUM(E217:E218)</f>
        <v>11.08</v>
      </c>
      <c r="F214" s="1"/>
      <c r="G214" s="12">
        <f>E214*F214</f>
        <v>0</v>
      </c>
      <c r="M214" s="1">
        <f>255/N42</f>
        <v>274.19354838709677</v>
      </c>
    </row>
    <row r="215" spans="1:13" x14ac:dyDescent="0.3">
      <c r="A215" s="20"/>
      <c r="C215" s="13" t="s">
        <v>187</v>
      </c>
    </row>
    <row r="216" spans="1:13" x14ac:dyDescent="0.3">
      <c r="A216" s="20"/>
      <c r="B216" s="9"/>
      <c r="C216" s="14" t="s">
        <v>50</v>
      </c>
      <c r="E216" s="14"/>
      <c r="F216" s="12"/>
      <c r="G216" s="12"/>
      <c r="M216" s="12"/>
    </row>
    <row r="217" spans="1:13" x14ac:dyDescent="0.3">
      <c r="A217" s="20"/>
      <c r="B217" s="9"/>
      <c r="C217" s="14" t="s">
        <v>188</v>
      </c>
      <c r="E217" s="14">
        <v>8.18</v>
      </c>
      <c r="F217" s="12"/>
      <c r="G217" s="12"/>
      <c r="M217" s="12"/>
    </row>
    <row r="218" spans="1:13" x14ac:dyDescent="0.3">
      <c r="A218" s="20"/>
      <c r="B218" s="9"/>
      <c r="C218" s="14" t="s">
        <v>189</v>
      </c>
      <c r="E218" s="14">
        <v>2.9</v>
      </c>
      <c r="G218" s="12"/>
    </row>
    <row r="219" spans="1:13" ht="16.2" x14ac:dyDescent="0.3">
      <c r="A219" s="20"/>
      <c r="B219" s="9">
        <f>B214+1</f>
        <v>25</v>
      </c>
      <c r="C219" s="15" t="s">
        <v>190</v>
      </c>
      <c r="D219" s="10" t="s">
        <v>36</v>
      </c>
      <c r="E219" s="11">
        <f>SUM(E222:E238)</f>
        <v>524.55200000000002</v>
      </c>
      <c r="F219" s="1"/>
      <c r="G219" s="12">
        <f>E219*F219</f>
        <v>0</v>
      </c>
      <c r="M219" s="1">
        <f>30/N42</f>
        <v>32.258064516129032</v>
      </c>
    </row>
    <row r="220" spans="1:13" x14ac:dyDescent="0.3">
      <c r="A220" s="20"/>
      <c r="C220" s="13" t="s">
        <v>191</v>
      </c>
    </row>
    <row r="221" spans="1:13" x14ac:dyDescent="0.3">
      <c r="A221" s="20"/>
      <c r="B221" s="9"/>
      <c r="C221" s="14" t="s">
        <v>50</v>
      </c>
      <c r="E221" s="14"/>
      <c r="F221" s="12"/>
      <c r="G221" s="12"/>
      <c r="M221" s="12"/>
    </row>
    <row r="222" spans="1:13" x14ac:dyDescent="0.3">
      <c r="A222" s="20"/>
      <c r="B222" s="9"/>
      <c r="C222" s="14" t="s">
        <v>82</v>
      </c>
      <c r="E222" s="14">
        <v>11.21</v>
      </c>
      <c r="F222" s="12"/>
      <c r="G222" s="12"/>
      <c r="M222" s="12"/>
    </row>
    <row r="223" spans="1:13" x14ac:dyDescent="0.3">
      <c r="A223" s="20"/>
      <c r="B223" s="9"/>
      <c r="C223" s="14" t="s">
        <v>83</v>
      </c>
      <c r="E223" s="14">
        <v>64.650000000000006</v>
      </c>
      <c r="F223" s="12"/>
      <c r="G223" s="12"/>
      <c r="M223" s="12"/>
    </row>
    <row r="224" spans="1:13" x14ac:dyDescent="0.3">
      <c r="A224" s="20"/>
      <c r="B224" s="9"/>
      <c r="C224" s="14" t="s">
        <v>84</v>
      </c>
      <c r="D224"/>
      <c r="E224" s="14">
        <v>50.81</v>
      </c>
      <c r="F224" s="12"/>
      <c r="G224" s="12"/>
      <c r="M224" s="12"/>
    </row>
    <row r="225" spans="1:13" x14ac:dyDescent="0.3">
      <c r="A225" s="20"/>
      <c r="B225" s="9"/>
      <c r="C225" s="14" t="s">
        <v>85</v>
      </c>
      <c r="D225"/>
      <c r="E225" s="14">
        <v>18.3</v>
      </c>
      <c r="F225" s="12"/>
      <c r="G225" s="12"/>
      <c r="M225" s="12"/>
    </row>
    <row r="226" spans="1:13" x14ac:dyDescent="0.3">
      <c r="A226" s="20"/>
      <c r="B226" s="9"/>
      <c r="C226" s="14" t="s">
        <v>86</v>
      </c>
      <c r="D226"/>
      <c r="E226" s="14">
        <v>51.48</v>
      </c>
      <c r="F226" s="12"/>
      <c r="G226" s="12"/>
      <c r="M226" s="12"/>
    </row>
    <row r="227" spans="1:13" x14ac:dyDescent="0.3">
      <c r="A227" s="20"/>
      <c r="B227" s="9"/>
      <c r="C227" s="14" t="s">
        <v>96</v>
      </c>
      <c r="D227"/>
      <c r="E227" s="14">
        <v>26.73</v>
      </c>
      <c r="F227" s="12"/>
      <c r="G227" s="12"/>
      <c r="M227" s="12"/>
    </row>
    <row r="228" spans="1:13" x14ac:dyDescent="0.3">
      <c r="A228" s="20"/>
      <c r="B228" s="9"/>
      <c r="C228" s="14" t="s">
        <v>171</v>
      </c>
      <c r="E228" s="14">
        <v>1.3340000000000001</v>
      </c>
      <c r="F228" s="12"/>
      <c r="G228" s="12"/>
      <c r="M228" s="12"/>
    </row>
    <row r="229" spans="1:13" x14ac:dyDescent="0.3">
      <c r="A229" s="20"/>
      <c r="B229" s="9"/>
      <c r="C229" s="14" t="s">
        <v>172</v>
      </c>
      <c r="E229" s="14">
        <v>3.488</v>
      </c>
      <c r="F229" s="12"/>
      <c r="G229" s="12"/>
      <c r="M229" s="12"/>
    </row>
    <row r="230" spans="1:13" x14ac:dyDescent="0.3">
      <c r="A230" s="20"/>
      <c r="B230" s="9"/>
      <c r="C230" s="14" t="s">
        <v>97</v>
      </c>
      <c r="D230"/>
      <c r="E230" s="14">
        <v>16.04</v>
      </c>
      <c r="F230" s="12"/>
      <c r="G230" s="12"/>
      <c r="M230" s="12"/>
    </row>
    <row r="231" spans="1:13" x14ac:dyDescent="0.3">
      <c r="A231" s="20"/>
      <c r="B231" s="9"/>
      <c r="C231" s="14" t="s">
        <v>88</v>
      </c>
      <c r="D231"/>
      <c r="E231" s="14">
        <v>15.5</v>
      </c>
      <c r="F231" s="12"/>
      <c r="G231" s="12"/>
      <c r="M231" s="12"/>
    </row>
    <row r="232" spans="1:13" x14ac:dyDescent="0.3">
      <c r="A232" s="20"/>
      <c r="B232" s="9"/>
      <c r="C232" s="14" t="s">
        <v>89</v>
      </c>
      <c r="D232"/>
      <c r="E232" s="14">
        <v>53.4</v>
      </c>
      <c r="F232" s="12"/>
      <c r="G232" s="12"/>
      <c r="M232" s="12"/>
    </row>
    <row r="233" spans="1:13" x14ac:dyDescent="0.3">
      <c r="A233" s="20"/>
      <c r="B233" s="9"/>
      <c r="C233" s="14" t="s">
        <v>90</v>
      </c>
      <c r="D233"/>
      <c r="E233" s="14">
        <v>52.8</v>
      </c>
      <c r="F233" s="12"/>
      <c r="G233" s="12"/>
      <c r="M233" s="12"/>
    </row>
    <row r="234" spans="1:13" x14ac:dyDescent="0.3">
      <c r="A234" s="20"/>
      <c r="B234" s="9"/>
      <c r="C234" s="14" t="s">
        <v>91</v>
      </c>
      <c r="D234"/>
      <c r="E234" s="14">
        <v>12.324999999999999</v>
      </c>
      <c r="F234" s="12"/>
      <c r="G234" s="12"/>
      <c r="M234" s="12"/>
    </row>
    <row r="235" spans="1:13" x14ac:dyDescent="0.3">
      <c r="A235" s="20"/>
      <c r="B235" s="9"/>
      <c r="C235" s="14" t="s">
        <v>92</v>
      </c>
      <c r="D235"/>
      <c r="E235" s="14">
        <v>3.72</v>
      </c>
      <c r="F235" s="12"/>
      <c r="G235" s="12"/>
      <c r="M235" s="12"/>
    </row>
    <row r="236" spans="1:13" x14ac:dyDescent="0.3">
      <c r="A236" s="20"/>
      <c r="B236" s="9"/>
      <c r="C236" s="14" t="s">
        <v>93</v>
      </c>
      <c r="D236"/>
      <c r="E236" s="14">
        <v>25.7</v>
      </c>
      <c r="F236" s="12"/>
      <c r="G236" s="12"/>
      <c r="M236" s="12"/>
    </row>
    <row r="237" spans="1:13" x14ac:dyDescent="0.3">
      <c r="A237" s="20"/>
      <c r="B237" s="9"/>
      <c r="C237" s="14" t="s">
        <v>385</v>
      </c>
      <c r="E237" s="14">
        <f xml:space="preserve"> 4.425+40.74+2.68+0.947+0.948+2.68+0.948+0.947+11.65</f>
        <v>65.965000000000003</v>
      </c>
      <c r="F237" s="12"/>
      <c r="G237" s="12"/>
      <c r="M237" s="12"/>
    </row>
    <row r="238" spans="1:13" x14ac:dyDescent="0.3">
      <c r="A238" s="20"/>
      <c r="B238" s="9"/>
      <c r="C238" s="14" t="s">
        <v>370</v>
      </c>
      <c r="E238" s="14">
        <f xml:space="preserve"> 3.582+26.9+2.7+3.75+2.22+1.305+1.233+4.35+2.96+1.08+1.02</f>
        <v>51.1</v>
      </c>
      <c r="F238" s="12"/>
      <c r="G238" s="12"/>
      <c r="M238" s="12"/>
    </row>
    <row r="239" spans="1:13" ht="16.2" x14ac:dyDescent="0.3">
      <c r="A239" s="20"/>
      <c r="B239" s="9">
        <f>B219+1</f>
        <v>26</v>
      </c>
      <c r="C239" s="15" t="s">
        <v>192</v>
      </c>
      <c r="D239" s="10" t="s">
        <v>36</v>
      </c>
      <c r="E239" s="11">
        <f>SUM(E242:E257)</f>
        <v>520.96300000000008</v>
      </c>
      <c r="F239" s="1"/>
      <c r="G239" s="12">
        <f>E239*F239</f>
        <v>0</v>
      </c>
      <c r="K239" s="38">
        <f>12+30</f>
        <v>42</v>
      </c>
      <c r="M239" s="1">
        <f>42/N42</f>
        <v>45.161290322580641</v>
      </c>
    </row>
    <row r="240" spans="1:13" x14ac:dyDescent="0.3">
      <c r="A240" s="20"/>
      <c r="C240" s="13" t="s">
        <v>193</v>
      </c>
    </row>
    <row r="241" spans="1:13" x14ac:dyDescent="0.3">
      <c r="A241" s="20"/>
      <c r="B241" s="9"/>
      <c r="C241" s="14" t="s">
        <v>50</v>
      </c>
      <c r="E241" s="14"/>
      <c r="F241" s="12"/>
      <c r="G241" s="12"/>
      <c r="M241" s="12"/>
    </row>
    <row r="242" spans="1:13" x14ac:dyDescent="0.3">
      <c r="A242" s="20"/>
      <c r="B242" s="9"/>
      <c r="C242" s="14" t="s">
        <v>82</v>
      </c>
      <c r="E242" s="14">
        <v>11.21</v>
      </c>
      <c r="F242" s="12"/>
      <c r="G242" s="12"/>
      <c r="M242" s="12"/>
    </row>
    <row r="243" spans="1:13" x14ac:dyDescent="0.3">
      <c r="A243" s="20"/>
      <c r="B243" s="9"/>
      <c r="C243" s="14" t="s">
        <v>83</v>
      </c>
      <c r="E243" s="14">
        <v>64.650000000000006</v>
      </c>
      <c r="F243" s="12"/>
      <c r="G243" s="12"/>
      <c r="M243" s="12"/>
    </row>
    <row r="244" spans="1:13" x14ac:dyDescent="0.3">
      <c r="A244" s="20"/>
      <c r="B244" s="9"/>
      <c r="C244" s="14" t="s">
        <v>84</v>
      </c>
      <c r="D244"/>
      <c r="E244" s="14">
        <v>50.81</v>
      </c>
      <c r="F244" s="12"/>
      <c r="G244" s="12"/>
      <c r="M244" s="12"/>
    </row>
    <row r="245" spans="1:13" x14ac:dyDescent="0.3">
      <c r="A245" s="20"/>
      <c r="B245" s="9"/>
      <c r="C245" s="14" t="s">
        <v>85</v>
      </c>
      <c r="D245"/>
      <c r="E245" s="14">
        <v>18.3</v>
      </c>
      <c r="F245" s="12"/>
      <c r="G245" s="12"/>
      <c r="M245" s="12"/>
    </row>
    <row r="246" spans="1:13" x14ac:dyDescent="0.3">
      <c r="A246" s="20"/>
      <c r="B246" s="9"/>
      <c r="C246" s="14" t="s">
        <v>86</v>
      </c>
      <c r="D246"/>
      <c r="E246" s="14">
        <v>51.48</v>
      </c>
      <c r="F246" s="12"/>
      <c r="G246" s="12"/>
      <c r="M246" s="12"/>
    </row>
    <row r="247" spans="1:13" x14ac:dyDescent="0.3">
      <c r="A247" s="20"/>
      <c r="B247" s="9"/>
      <c r="C247" s="14" t="s">
        <v>96</v>
      </c>
      <c r="D247"/>
      <c r="E247" s="14">
        <v>26.73</v>
      </c>
      <c r="F247" s="12"/>
      <c r="G247" s="12"/>
      <c r="M247" s="12"/>
    </row>
    <row r="248" spans="1:13" x14ac:dyDescent="0.3">
      <c r="A248" s="20"/>
      <c r="B248" s="9"/>
      <c r="C248" s="14" t="s">
        <v>194</v>
      </c>
      <c r="E248" s="14">
        <v>1.2330000000000001</v>
      </c>
      <c r="F248" s="12"/>
      <c r="G248" s="12"/>
      <c r="M248" s="12"/>
    </row>
    <row r="249" spans="1:13" x14ac:dyDescent="0.3">
      <c r="A249" s="20"/>
      <c r="B249" s="9"/>
      <c r="C249" s="14" t="s">
        <v>97</v>
      </c>
      <c r="D249"/>
      <c r="E249" s="14">
        <v>16.04</v>
      </c>
      <c r="F249" s="12"/>
      <c r="G249" s="12"/>
      <c r="M249" s="12"/>
    </row>
    <row r="250" spans="1:13" x14ac:dyDescent="0.3">
      <c r="A250" s="20"/>
      <c r="B250" s="9"/>
      <c r="C250" s="14" t="s">
        <v>88</v>
      </c>
      <c r="D250"/>
      <c r="E250" s="14">
        <v>15.5</v>
      </c>
      <c r="F250" s="12"/>
      <c r="G250" s="12"/>
      <c r="M250" s="12"/>
    </row>
    <row r="251" spans="1:13" x14ac:dyDescent="0.3">
      <c r="A251" s="20"/>
      <c r="B251" s="9"/>
      <c r="C251" s="14" t="s">
        <v>89</v>
      </c>
      <c r="D251"/>
      <c r="E251" s="14">
        <v>53.4</v>
      </c>
      <c r="F251" s="12"/>
      <c r="G251" s="12"/>
      <c r="M251" s="12"/>
    </row>
    <row r="252" spans="1:13" x14ac:dyDescent="0.3">
      <c r="A252" s="20"/>
      <c r="B252" s="9"/>
      <c r="C252" s="14" t="s">
        <v>90</v>
      </c>
      <c r="D252"/>
      <c r="E252" s="14">
        <v>52.8</v>
      </c>
      <c r="F252" s="12"/>
      <c r="G252" s="12"/>
      <c r="M252" s="12"/>
    </row>
    <row r="253" spans="1:13" x14ac:dyDescent="0.3">
      <c r="A253" s="20"/>
      <c r="B253" s="9"/>
      <c r="C253" s="14" t="s">
        <v>91</v>
      </c>
      <c r="D253"/>
      <c r="E253" s="14">
        <v>12.324999999999999</v>
      </c>
      <c r="F253" s="12"/>
      <c r="G253" s="12"/>
      <c r="M253" s="12"/>
    </row>
    <row r="254" spans="1:13" x14ac:dyDescent="0.3">
      <c r="A254" s="20"/>
      <c r="B254" s="9"/>
      <c r="C254" s="14" t="s">
        <v>92</v>
      </c>
      <c r="D254"/>
      <c r="E254" s="14">
        <v>3.72</v>
      </c>
      <c r="F254" s="12"/>
      <c r="G254" s="12"/>
      <c r="M254" s="12"/>
    </row>
    <row r="255" spans="1:13" x14ac:dyDescent="0.3">
      <c r="A255" s="20"/>
      <c r="B255" s="9"/>
      <c r="C255" s="14" t="s">
        <v>93</v>
      </c>
      <c r="D255"/>
      <c r="E255" s="14">
        <v>25.7</v>
      </c>
      <c r="F255" s="12"/>
      <c r="G255" s="12"/>
      <c r="M255" s="12"/>
    </row>
    <row r="256" spans="1:13" x14ac:dyDescent="0.3">
      <c r="A256" s="20"/>
      <c r="B256" s="9"/>
      <c r="C256" s="14" t="s">
        <v>386</v>
      </c>
      <c r="E256" s="14">
        <f xml:space="preserve"> 4.425+40.74+2.68+0.947+0.948+2.68+0.948+0.947+11.65</f>
        <v>65.965000000000003</v>
      </c>
      <c r="F256" s="12"/>
      <c r="G256" s="12"/>
      <c r="M256" s="12"/>
    </row>
    <row r="257" spans="1:13" x14ac:dyDescent="0.3">
      <c r="A257" s="20"/>
      <c r="B257" s="9"/>
      <c r="C257" s="14" t="s">
        <v>370</v>
      </c>
      <c r="E257" s="14">
        <f xml:space="preserve"> 3.582+26.9+2.7+3.75+2.22+1.305+1.233+4.35+2.96+1.08+1.02</f>
        <v>51.1</v>
      </c>
      <c r="F257" s="12"/>
      <c r="G257" s="12"/>
      <c r="M257" s="12"/>
    </row>
    <row r="258" spans="1:13" ht="16.2" x14ac:dyDescent="0.3">
      <c r="A258" s="20"/>
      <c r="B258" s="9">
        <f>B239+1</f>
        <v>27</v>
      </c>
      <c r="C258" s="15" t="s">
        <v>195</v>
      </c>
      <c r="D258" s="10" t="s">
        <v>36</v>
      </c>
      <c r="E258" s="11">
        <f>SUM(E261:E275)</f>
        <v>477.43000000000006</v>
      </c>
      <c r="F258" s="1"/>
      <c r="G258" s="12">
        <f>E258*F258</f>
        <v>0</v>
      </c>
      <c r="K258" s="38">
        <f>620*1.3</f>
        <v>806</v>
      </c>
      <c r="M258" s="1">
        <f>806/N42</f>
        <v>866.66666666666663</v>
      </c>
    </row>
    <row r="259" spans="1:13" x14ac:dyDescent="0.3">
      <c r="A259" s="20"/>
      <c r="C259" s="13" t="s">
        <v>196</v>
      </c>
    </row>
    <row r="260" spans="1:13" x14ac:dyDescent="0.3">
      <c r="A260" s="20"/>
      <c r="B260" s="9"/>
      <c r="C260" s="14" t="s">
        <v>50</v>
      </c>
      <c r="E260" s="14"/>
      <c r="F260" s="12"/>
      <c r="G260" s="12"/>
      <c r="M260" s="12"/>
    </row>
    <row r="261" spans="1:13" x14ac:dyDescent="0.3">
      <c r="A261" s="20"/>
      <c r="B261" s="9"/>
      <c r="C261" s="14" t="s">
        <v>82</v>
      </c>
      <c r="E261" s="14">
        <v>11.21</v>
      </c>
      <c r="F261" s="12"/>
      <c r="G261" s="12"/>
      <c r="M261" s="12"/>
    </row>
    <row r="262" spans="1:13" x14ac:dyDescent="0.3">
      <c r="A262" s="20"/>
      <c r="B262" s="9"/>
      <c r="C262" s="14" t="s">
        <v>83</v>
      </c>
      <c r="E262" s="14">
        <v>64.650000000000006</v>
      </c>
      <c r="F262" s="12"/>
      <c r="G262" s="12"/>
      <c r="M262" s="12"/>
    </row>
    <row r="263" spans="1:13" x14ac:dyDescent="0.3">
      <c r="A263" s="20"/>
      <c r="B263" s="9"/>
      <c r="C263" s="14" t="s">
        <v>84</v>
      </c>
      <c r="D263"/>
      <c r="E263" s="14">
        <v>50.81</v>
      </c>
      <c r="F263" s="12"/>
      <c r="G263" s="12"/>
      <c r="M263" s="12"/>
    </row>
    <row r="264" spans="1:13" x14ac:dyDescent="0.3">
      <c r="A264" s="20"/>
      <c r="B264" s="9"/>
      <c r="C264" s="14" t="s">
        <v>85</v>
      </c>
      <c r="D264"/>
      <c r="E264" s="14">
        <v>18.3</v>
      </c>
      <c r="F264" s="12"/>
      <c r="G264" s="12"/>
      <c r="M264" s="12"/>
    </row>
    <row r="265" spans="1:13" x14ac:dyDescent="0.3">
      <c r="A265" s="20"/>
      <c r="B265" s="9"/>
      <c r="C265" s="14" t="s">
        <v>86</v>
      </c>
      <c r="D265"/>
      <c r="E265" s="14">
        <v>51.48</v>
      </c>
      <c r="F265" s="12"/>
      <c r="G265" s="12"/>
      <c r="M265" s="12"/>
    </row>
    <row r="266" spans="1:13" x14ac:dyDescent="0.3">
      <c r="A266" s="20"/>
      <c r="B266" s="9"/>
      <c r="C266" s="14" t="s">
        <v>96</v>
      </c>
      <c r="D266"/>
      <c r="E266" s="14">
        <v>26.73</v>
      </c>
      <c r="F266" s="12"/>
      <c r="G266" s="12"/>
      <c r="M266" s="12"/>
    </row>
    <row r="267" spans="1:13" x14ac:dyDescent="0.3">
      <c r="A267" s="20"/>
      <c r="B267" s="9"/>
      <c r="C267" s="14" t="s">
        <v>97</v>
      </c>
      <c r="D267"/>
      <c r="E267" s="14">
        <v>16.04</v>
      </c>
      <c r="F267" s="12"/>
      <c r="G267" s="12"/>
      <c r="M267" s="12"/>
    </row>
    <row r="268" spans="1:13" x14ac:dyDescent="0.3">
      <c r="A268" s="20"/>
      <c r="B268" s="9"/>
      <c r="C268" s="14" t="s">
        <v>88</v>
      </c>
      <c r="D268"/>
      <c r="E268" s="14">
        <v>15.5</v>
      </c>
      <c r="F268" s="12"/>
      <c r="G268" s="12"/>
      <c r="M268" s="12"/>
    </row>
    <row r="269" spans="1:13" x14ac:dyDescent="0.3">
      <c r="A269" s="20"/>
      <c r="B269" s="9"/>
      <c r="C269" s="14" t="s">
        <v>89</v>
      </c>
      <c r="D269"/>
      <c r="E269" s="14">
        <v>53.4</v>
      </c>
      <c r="F269" s="12"/>
      <c r="G269" s="12"/>
      <c r="M269" s="12"/>
    </row>
    <row r="270" spans="1:13" x14ac:dyDescent="0.3">
      <c r="A270" s="20"/>
      <c r="B270" s="9"/>
      <c r="C270" s="14" t="s">
        <v>90</v>
      </c>
      <c r="D270"/>
      <c r="E270" s="14">
        <v>52.8</v>
      </c>
      <c r="F270" s="12"/>
      <c r="G270" s="12"/>
      <c r="M270" s="12"/>
    </row>
    <row r="271" spans="1:13" x14ac:dyDescent="0.3">
      <c r="A271" s="20"/>
      <c r="B271" s="9"/>
      <c r="C271" s="14" t="s">
        <v>91</v>
      </c>
      <c r="D271"/>
      <c r="E271" s="14">
        <v>12.324999999999999</v>
      </c>
      <c r="F271" s="12"/>
      <c r="G271" s="12"/>
      <c r="M271" s="12"/>
    </row>
    <row r="272" spans="1:13" x14ac:dyDescent="0.3">
      <c r="A272" s="20"/>
      <c r="B272" s="9"/>
      <c r="C272" s="14" t="s">
        <v>92</v>
      </c>
      <c r="D272"/>
      <c r="E272" s="14">
        <v>3.72</v>
      </c>
      <c r="F272" s="12"/>
      <c r="G272" s="12"/>
      <c r="M272" s="12"/>
    </row>
    <row r="273" spans="1:13" x14ac:dyDescent="0.3">
      <c r="A273" s="20"/>
      <c r="B273" s="9"/>
      <c r="C273" s="14" t="s">
        <v>93</v>
      </c>
      <c r="D273"/>
      <c r="E273" s="14">
        <v>25.7</v>
      </c>
      <c r="F273" s="12"/>
      <c r="G273" s="12"/>
      <c r="M273" s="12"/>
    </row>
    <row r="274" spans="1:13" x14ac:dyDescent="0.3">
      <c r="A274" s="20"/>
      <c r="B274" s="9"/>
      <c r="C274" s="14" t="s">
        <v>387</v>
      </c>
      <c r="E274" s="14">
        <f xml:space="preserve"> 4.425+40.74</f>
        <v>45.164999999999999</v>
      </c>
      <c r="F274" s="12"/>
      <c r="G274" s="12"/>
      <c r="M274" s="12"/>
    </row>
    <row r="275" spans="1:13" x14ac:dyDescent="0.3">
      <c r="A275" s="20"/>
      <c r="B275" s="9"/>
      <c r="C275" s="14" t="s">
        <v>388</v>
      </c>
      <c r="E275" s="14">
        <v>29.6</v>
      </c>
      <c r="F275" s="12"/>
      <c r="G275" s="12"/>
      <c r="M275" s="12"/>
    </row>
    <row r="276" spans="1:13" x14ac:dyDescent="0.3">
      <c r="A276" s="20"/>
      <c r="B276" s="3" t="s">
        <v>205</v>
      </c>
      <c r="C276" s="4" t="s">
        <v>206</v>
      </c>
      <c r="D276" s="5"/>
      <c r="E276" s="6"/>
      <c r="F276" s="7"/>
      <c r="G276" s="8">
        <f>SUM(G277:G307)</f>
        <v>0</v>
      </c>
    </row>
    <row r="277" spans="1:13" x14ac:dyDescent="0.3">
      <c r="A277" s="20"/>
      <c r="B277" s="9">
        <f>B258+1</f>
        <v>28</v>
      </c>
      <c r="C277" s="15" t="s">
        <v>207</v>
      </c>
      <c r="D277" s="10" t="s">
        <v>30</v>
      </c>
      <c r="E277" s="11">
        <f>SUM(E279:E280)</f>
        <v>2</v>
      </c>
      <c r="F277" s="1"/>
      <c r="G277" s="12">
        <f>E277*F277</f>
        <v>0</v>
      </c>
      <c r="K277" s="38">
        <f>1991*1.3</f>
        <v>2588.3000000000002</v>
      </c>
      <c r="M277" s="1">
        <f>2590/N42</f>
        <v>2784.9462365591398</v>
      </c>
    </row>
    <row r="278" spans="1:13" x14ac:dyDescent="0.3">
      <c r="A278" s="20"/>
      <c r="C278" s="14" t="s">
        <v>50</v>
      </c>
      <c r="E278" s="14"/>
    </row>
    <row r="279" spans="1:13" x14ac:dyDescent="0.3">
      <c r="A279" s="20"/>
      <c r="B279" s="9"/>
      <c r="C279" s="14" t="s">
        <v>208</v>
      </c>
      <c r="E279" s="14">
        <v>1</v>
      </c>
      <c r="F279" s="12"/>
      <c r="G279" s="12"/>
      <c r="M279" s="12"/>
    </row>
    <row r="280" spans="1:13" x14ac:dyDescent="0.3">
      <c r="A280" s="20"/>
      <c r="B280" s="9"/>
      <c r="C280" s="14" t="s">
        <v>209</v>
      </c>
      <c r="E280" s="14">
        <v>1</v>
      </c>
      <c r="F280" s="12"/>
      <c r="G280" s="12"/>
      <c r="M280" s="12"/>
    </row>
    <row r="281" spans="1:13" x14ac:dyDescent="0.3">
      <c r="A281" s="20"/>
      <c r="B281" s="9">
        <f>B277+1</f>
        <v>29</v>
      </c>
      <c r="C281" s="15" t="s">
        <v>210</v>
      </c>
      <c r="D281" s="10" t="s">
        <v>30</v>
      </c>
      <c r="E281" s="11">
        <f>SUM(E283)</f>
        <v>1</v>
      </c>
      <c r="F281" s="1"/>
      <c r="G281" s="12">
        <f>E281*F281</f>
        <v>0</v>
      </c>
      <c r="K281" s="38">
        <f>1969*1.3</f>
        <v>2559.7000000000003</v>
      </c>
      <c r="M281" s="1">
        <f>2560/N42</f>
        <v>2752.6881720430106</v>
      </c>
    </row>
    <row r="282" spans="1:13" x14ac:dyDescent="0.3">
      <c r="A282" s="20"/>
      <c r="C282" s="14" t="s">
        <v>50</v>
      </c>
      <c r="E282" s="14"/>
    </row>
    <row r="283" spans="1:13" x14ac:dyDescent="0.3">
      <c r="A283" s="20"/>
      <c r="B283" s="9"/>
      <c r="C283" s="14" t="s">
        <v>211</v>
      </c>
      <c r="E283" s="14">
        <v>1</v>
      </c>
      <c r="F283" s="12"/>
      <c r="G283" s="12"/>
      <c r="M283" s="12"/>
    </row>
    <row r="284" spans="1:13" x14ac:dyDescent="0.3">
      <c r="A284" s="20"/>
      <c r="B284" s="9">
        <f>B281+1</f>
        <v>30</v>
      </c>
      <c r="C284" s="15" t="s">
        <v>212</v>
      </c>
      <c r="D284" s="10" t="s">
        <v>30</v>
      </c>
      <c r="E284" s="11">
        <f>SUM(E286)</f>
        <v>1</v>
      </c>
      <c r="F284" s="1"/>
      <c r="G284" s="12">
        <f>E284*F284</f>
        <v>0</v>
      </c>
      <c r="K284" s="38">
        <f>2010*1.3</f>
        <v>2613</v>
      </c>
      <c r="M284" s="1">
        <f>2613/N42</f>
        <v>2809.6774193548385</v>
      </c>
    </row>
    <row r="285" spans="1:13" x14ac:dyDescent="0.3">
      <c r="A285" s="20"/>
      <c r="C285" s="14" t="s">
        <v>50</v>
      </c>
      <c r="E285" s="14"/>
    </row>
    <row r="286" spans="1:13" x14ac:dyDescent="0.3">
      <c r="A286" s="20"/>
      <c r="B286" s="9"/>
      <c r="C286" s="14" t="s">
        <v>213</v>
      </c>
      <c r="E286" s="14">
        <v>1</v>
      </c>
      <c r="F286" s="12"/>
      <c r="G286" s="12"/>
      <c r="M286" s="12"/>
    </row>
    <row r="287" spans="1:13" x14ac:dyDescent="0.3">
      <c r="A287" s="20"/>
      <c r="B287" s="9">
        <f>B284+1</f>
        <v>31</v>
      </c>
      <c r="C287" s="15" t="s">
        <v>214</v>
      </c>
      <c r="D287" s="10" t="s">
        <v>30</v>
      </c>
      <c r="E287" s="11">
        <f>SUM(E290:E304)</f>
        <v>30</v>
      </c>
      <c r="F287" s="1"/>
      <c r="G287" s="12">
        <f>E287*F287</f>
        <v>0</v>
      </c>
      <c r="K287" s="38">
        <f>300+3*550</f>
        <v>1950</v>
      </c>
      <c r="M287" s="1">
        <f>1950/N42</f>
        <v>2096.7741935483868</v>
      </c>
    </row>
    <row r="288" spans="1:13" x14ac:dyDescent="0.3">
      <c r="A288" s="20"/>
      <c r="B288"/>
      <c r="C288" s="13" t="s">
        <v>215</v>
      </c>
      <c r="D288"/>
      <c r="E288" s="14"/>
      <c r="L288" t="s">
        <v>328</v>
      </c>
    </row>
    <row r="289" spans="1:5" x14ac:dyDescent="0.3">
      <c r="A289" s="20"/>
      <c r="B289"/>
      <c r="C289" s="14" t="s">
        <v>50</v>
      </c>
      <c r="E289" s="14"/>
    </row>
    <row r="290" spans="1:5" x14ac:dyDescent="0.3">
      <c r="A290" s="20"/>
      <c r="B290"/>
      <c r="C290" s="14" t="s">
        <v>216</v>
      </c>
      <c r="E290" s="14">
        <v>1</v>
      </c>
    </row>
    <row r="291" spans="1:5" x14ac:dyDescent="0.3">
      <c r="A291" s="20"/>
      <c r="B291"/>
      <c r="C291" s="14" t="s">
        <v>217</v>
      </c>
      <c r="E291" s="14">
        <v>1</v>
      </c>
    </row>
    <row r="292" spans="1:5" x14ac:dyDescent="0.3">
      <c r="A292" s="20"/>
      <c r="B292"/>
      <c r="C292" s="14" t="s">
        <v>218</v>
      </c>
      <c r="D292"/>
      <c r="E292" s="14">
        <v>2</v>
      </c>
    </row>
    <row r="293" spans="1:5" x14ac:dyDescent="0.3">
      <c r="A293" s="20"/>
      <c r="B293"/>
      <c r="C293" s="14" t="s">
        <v>219</v>
      </c>
      <c r="D293"/>
      <c r="E293" s="14">
        <v>1</v>
      </c>
    </row>
    <row r="294" spans="1:5" x14ac:dyDescent="0.3">
      <c r="A294" s="20"/>
      <c r="B294"/>
      <c r="C294" s="14" t="s">
        <v>208</v>
      </c>
      <c r="D294"/>
      <c r="E294" s="14">
        <v>1</v>
      </c>
    </row>
    <row r="295" spans="1:5" x14ac:dyDescent="0.3">
      <c r="A295" s="20"/>
      <c r="B295"/>
      <c r="C295" s="14" t="s">
        <v>211</v>
      </c>
      <c r="D295"/>
      <c r="E295" s="14">
        <v>1</v>
      </c>
    </row>
    <row r="296" spans="1:5" x14ac:dyDescent="0.3">
      <c r="A296" s="20"/>
      <c r="B296"/>
      <c r="C296" s="14" t="s">
        <v>209</v>
      </c>
      <c r="D296"/>
      <c r="E296" s="14">
        <v>1</v>
      </c>
    </row>
    <row r="297" spans="1:5" x14ac:dyDescent="0.3">
      <c r="A297" s="20"/>
      <c r="B297"/>
      <c r="C297" s="14" t="s">
        <v>213</v>
      </c>
      <c r="D297"/>
      <c r="E297" s="14">
        <v>1</v>
      </c>
    </row>
    <row r="298" spans="1:5" x14ac:dyDescent="0.3">
      <c r="A298" s="20"/>
      <c r="B298"/>
      <c r="C298" s="14" t="s">
        <v>220</v>
      </c>
      <c r="D298"/>
      <c r="E298" s="14">
        <v>1</v>
      </c>
    </row>
    <row r="299" spans="1:5" x14ac:dyDescent="0.3">
      <c r="A299" s="20"/>
      <c r="B299"/>
      <c r="C299" s="14" t="s">
        <v>221</v>
      </c>
      <c r="D299"/>
      <c r="E299" s="14">
        <v>1</v>
      </c>
    </row>
    <row r="300" spans="1:5" x14ac:dyDescent="0.3">
      <c r="A300" s="20"/>
      <c r="B300"/>
      <c r="C300" s="14" t="s">
        <v>222</v>
      </c>
      <c r="D300"/>
      <c r="E300" s="14">
        <v>1</v>
      </c>
    </row>
    <row r="301" spans="1:5" x14ac:dyDescent="0.3">
      <c r="A301" s="20"/>
      <c r="B301"/>
      <c r="C301" s="14" t="s">
        <v>223</v>
      </c>
      <c r="D301"/>
      <c r="E301" s="14">
        <v>1</v>
      </c>
    </row>
    <row r="302" spans="1:5" x14ac:dyDescent="0.3">
      <c r="A302" s="20"/>
      <c r="B302"/>
      <c r="C302" s="14" t="s">
        <v>224</v>
      </c>
      <c r="D302"/>
      <c r="E302" s="14">
        <v>2</v>
      </c>
    </row>
    <row r="303" spans="1:5" x14ac:dyDescent="0.3">
      <c r="A303" s="20"/>
      <c r="B303"/>
      <c r="C303" s="14" t="s">
        <v>389</v>
      </c>
      <c r="E303" s="14">
        <v>6</v>
      </c>
    </row>
    <row r="304" spans="1:5" x14ac:dyDescent="0.3">
      <c r="A304" s="20"/>
      <c r="B304"/>
      <c r="C304" s="14" t="s">
        <v>390</v>
      </c>
      <c r="E304" s="14">
        <v>9</v>
      </c>
    </row>
    <row r="305" spans="1:13" x14ac:dyDescent="0.3">
      <c r="A305" s="20"/>
      <c r="B305" s="9">
        <f>B287+1</f>
        <v>32</v>
      </c>
      <c r="C305" s="15" t="s">
        <v>225</v>
      </c>
      <c r="D305" s="10" t="s">
        <v>30</v>
      </c>
      <c r="E305" s="11">
        <f>SUM(E307)</f>
        <v>1</v>
      </c>
      <c r="F305" s="1"/>
      <c r="G305" s="12">
        <f>E305*F305</f>
        <v>0</v>
      </c>
      <c r="M305" s="1">
        <f>2450/N42</f>
        <v>2634.4086021505377</v>
      </c>
    </row>
    <row r="306" spans="1:13" x14ac:dyDescent="0.3">
      <c r="A306" s="20"/>
      <c r="B306"/>
      <c r="C306" s="13" t="s">
        <v>215</v>
      </c>
      <c r="D306"/>
      <c r="E306" s="14"/>
    </row>
    <row r="307" spans="1:13" x14ac:dyDescent="0.3">
      <c r="A307" s="20"/>
      <c r="B307"/>
      <c r="C307" s="14" t="s">
        <v>226</v>
      </c>
      <c r="D307"/>
      <c r="E307" s="14">
        <v>1</v>
      </c>
    </row>
    <row r="308" spans="1:13" x14ac:dyDescent="0.3">
      <c r="A308" s="20"/>
      <c r="B308" s="3" t="s">
        <v>14</v>
      </c>
      <c r="C308" s="4" t="s">
        <v>15</v>
      </c>
      <c r="D308" s="5"/>
      <c r="E308" s="6"/>
      <c r="F308" s="7"/>
      <c r="G308" s="8">
        <f>SUM(G309:G325)</f>
        <v>0</v>
      </c>
    </row>
    <row r="309" spans="1:13" ht="16.2" x14ac:dyDescent="0.3">
      <c r="A309" s="20"/>
      <c r="B309" s="9">
        <f>B305+1</f>
        <v>33</v>
      </c>
      <c r="C309" s="15" t="s">
        <v>49</v>
      </c>
      <c r="D309" s="10" t="s">
        <v>36</v>
      </c>
      <c r="E309" s="11">
        <f>SUM(E311:E312)</f>
        <v>22.575999999999997</v>
      </c>
      <c r="F309" s="1"/>
      <c r="G309" s="12">
        <f>E309*F309</f>
        <v>0</v>
      </c>
      <c r="K309" s="38">
        <f>161*1.3</f>
        <v>209.3</v>
      </c>
      <c r="M309" s="1">
        <f>210/N42</f>
        <v>225.8064516129032</v>
      </c>
    </row>
    <row r="310" spans="1:13" x14ac:dyDescent="0.3">
      <c r="A310" s="20"/>
      <c r="B310" s="9"/>
      <c r="C310" s="14" t="s">
        <v>50</v>
      </c>
      <c r="E310" s="14"/>
      <c r="F310" s="12"/>
      <c r="G310" s="12"/>
      <c r="M310" s="12"/>
    </row>
    <row r="311" spans="1:13" x14ac:dyDescent="0.3">
      <c r="A311" s="20"/>
      <c r="B311" s="9"/>
      <c r="C311" s="14" t="s">
        <v>51</v>
      </c>
      <c r="E311" s="14">
        <f>(0.85+0.95)*3.32</f>
        <v>5.9759999999999991</v>
      </c>
      <c r="F311" s="12"/>
      <c r="G311" s="12"/>
      <c r="M311" s="12"/>
    </row>
    <row r="312" spans="1:13" x14ac:dyDescent="0.3">
      <c r="A312" s="20"/>
      <c r="B312" s="9"/>
      <c r="C312" s="14" t="s">
        <v>52</v>
      </c>
      <c r="E312" s="14">
        <f>(3.55+1.45)*3.32</f>
        <v>16.599999999999998</v>
      </c>
    </row>
    <row r="313" spans="1:13" x14ac:dyDescent="0.3">
      <c r="A313" s="20"/>
      <c r="B313" s="9">
        <f>B309+1</f>
        <v>34</v>
      </c>
      <c r="C313" s="15" t="s">
        <v>53</v>
      </c>
      <c r="D313" s="10" t="s">
        <v>30</v>
      </c>
      <c r="E313" s="11">
        <f>SUM(E315:E315)</f>
        <v>1</v>
      </c>
      <c r="F313" s="1"/>
      <c r="G313" s="12">
        <f>E313*F313</f>
        <v>0</v>
      </c>
      <c r="M313" s="1">
        <f>500/N42</f>
        <v>537.63440860215053</v>
      </c>
    </row>
    <row r="314" spans="1:13" x14ac:dyDescent="0.3">
      <c r="A314" s="20"/>
      <c r="B314" s="9"/>
      <c r="C314" s="14" t="s">
        <v>50</v>
      </c>
      <c r="E314" s="14"/>
      <c r="F314" s="12"/>
      <c r="G314" s="12"/>
      <c r="M314" s="12"/>
    </row>
    <row r="315" spans="1:13" x14ac:dyDescent="0.3">
      <c r="A315" s="20"/>
      <c r="B315" s="9"/>
      <c r="C315" s="14" t="s">
        <v>54</v>
      </c>
      <c r="E315" s="14">
        <v>1</v>
      </c>
      <c r="F315" s="12"/>
      <c r="G315" s="12"/>
      <c r="M315" s="12"/>
    </row>
    <row r="316" spans="1:13" ht="16.2" x14ac:dyDescent="0.3">
      <c r="A316" s="20"/>
      <c r="B316" s="9">
        <f>B313+1</f>
        <v>35</v>
      </c>
      <c r="C316" s="15" t="s">
        <v>55</v>
      </c>
      <c r="D316" s="10" t="s">
        <v>36</v>
      </c>
      <c r="E316" s="11">
        <f>SUM(E318:E318)</f>
        <v>13.28</v>
      </c>
      <c r="F316" s="1"/>
      <c r="G316" s="12">
        <f>E316*F316</f>
        <v>0</v>
      </c>
      <c r="K316" s="38">
        <f>368*1.3</f>
        <v>478.40000000000003</v>
      </c>
      <c r="M316" s="1">
        <f>479/N42</f>
        <v>515.05376344086017</v>
      </c>
    </row>
    <row r="317" spans="1:13" x14ac:dyDescent="0.3">
      <c r="A317" s="20"/>
      <c r="B317" s="9"/>
      <c r="C317" s="14" t="s">
        <v>50</v>
      </c>
      <c r="E317" s="14"/>
      <c r="F317" s="12"/>
      <c r="G317" s="12"/>
      <c r="M317" s="12"/>
    </row>
    <row r="318" spans="1:13" x14ac:dyDescent="0.3">
      <c r="A318" s="20"/>
      <c r="B318" s="9"/>
      <c r="C318" s="14" t="s">
        <v>56</v>
      </c>
      <c r="E318" s="14">
        <f>4*3.32</f>
        <v>13.28</v>
      </c>
      <c r="F318" s="12"/>
      <c r="G318" s="12"/>
      <c r="M318" s="12"/>
    </row>
    <row r="319" spans="1:13" x14ac:dyDescent="0.3">
      <c r="A319" s="20"/>
      <c r="B319" s="9">
        <f>B316+1</f>
        <v>36</v>
      </c>
      <c r="C319" s="15" t="s">
        <v>57</v>
      </c>
      <c r="D319" s="10" t="s">
        <v>30</v>
      </c>
      <c r="E319" s="11">
        <f>SUM(E321:E321)</f>
        <v>1</v>
      </c>
      <c r="F319" s="1"/>
      <c r="G319" s="12">
        <f>E319*F319</f>
        <v>0</v>
      </c>
      <c r="M319" s="1">
        <f>350/N42</f>
        <v>376.34408602150535</v>
      </c>
    </row>
    <row r="320" spans="1:13" x14ac:dyDescent="0.3">
      <c r="A320" s="20"/>
      <c r="B320" s="9"/>
      <c r="C320" s="14" t="s">
        <v>50</v>
      </c>
      <c r="E320" s="14"/>
      <c r="F320" s="12"/>
      <c r="G320" s="12"/>
      <c r="M320" s="12"/>
    </row>
    <row r="321" spans="1:13" x14ac:dyDescent="0.3">
      <c r="A321" s="20"/>
      <c r="B321" s="9"/>
      <c r="C321" s="14" t="s">
        <v>58</v>
      </c>
      <c r="E321" s="14">
        <v>1</v>
      </c>
      <c r="F321" s="12"/>
      <c r="G321" s="12"/>
      <c r="M321" s="12"/>
    </row>
    <row r="322" spans="1:13" ht="16.2" x14ac:dyDescent="0.3">
      <c r="A322" s="20"/>
      <c r="B322" s="9">
        <f>B319+1</f>
        <v>37</v>
      </c>
      <c r="C322" s="15" t="s">
        <v>59</v>
      </c>
      <c r="D322" s="10" t="s">
        <v>36</v>
      </c>
      <c r="E322" s="11">
        <f>SUM(E324:E327)</f>
        <v>57.56049999999999</v>
      </c>
      <c r="F322" s="1"/>
      <c r="G322" s="12">
        <f>E322*F322</f>
        <v>0</v>
      </c>
      <c r="M322" s="1">
        <f>75/N42</f>
        <v>80.645161290322577</v>
      </c>
    </row>
    <row r="323" spans="1:13" x14ac:dyDescent="0.3">
      <c r="A323" s="20"/>
      <c r="B323" s="9"/>
      <c r="C323" s="14" t="s">
        <v>50</v>
      </c>
      <c r="E323" s="14"/>
      <c r="F323" s="12"/>
      <c r="G323" s="12"/>
      <c r="M323" s="12"/>
    </row>
    <row r="324" spans="1:13" x14ac:dyDescent="0.3">
      <c r="A324" s="20"/>
      <c r="B324" s="9"/>
      <c r="C324" s="14" t="s">
        <v>60</v>
      </c>
      <c r="E324" s="14">
        <v>26.56</v>
      </c>
      <c r="F324" s="12"/>
      <c r="G324" s="12"/>
      <c r="M324" s="12"/>
    </row>
    <row r="325" spans="1:13" x14ac:dyDescent="0.3">
      <c r="A325" s="20"/>
      <c r="B325" s="9"/>
      <c r="C325" s="14" t="s">
        <v>61</v>
      </c>
      <c r="E325" s="14">
        <f>(1.45*0.85)</f>
        <v>1.2324999999999999</v>
      </c>
      <c r="F325" s="12"/>
      <c r="G325" s="12"/>
      <c r="M325" s="12"/>
    </row>
    <row r="326" spans="1:13" x14ac:dyDescent="0.3">
      <c r="A326" s="20"/>
      <c r="B326" s="9"/>
      <c r="C326" s="14" t="s">
        <v>392</v>
      </c>
      <c r="E326" s="14">
        <f>2.68+0.947+0.948+2.68+0.948+0.947</f>
        <v>9.15</v>
      </c>
      <c r="F326" s="12"/>
      <c r="G326" s="12"/>
      <c r="M326" s="12"/>
    </row>
    <row r="327" spans="1:13" x14ac:dyDescent="0.3">
      <c r="A327" s="20"/>
      <c r="B327" s="9"/>
      <c r="C327" s="14" t="s">
        <v>391</v>
      </c>
      <c r="E327" s="14">
        <f>2.7+3.75+2.22+1.305+1.233+4.35+2.96+1.08+1.02</f>
        <v>20.617999999999999</v>
      </c>
      <c r="F327" s="12"/>
      <c r="G327" s="12"/>
      <c r="M327" s="12"/>
    </row>
    <row r="328" spans="1:13" x14ac:dyDescent="0.3">
      <c r="A328" s="20"/>
      <c r="B328" s="3" t="s">
        <v>342</v>
      </c>
      <c r="C328" s="4" t="s">
        <v>344</v>
      </c>
      <c r="D328" s="5"/>
      <c r="E328" s="6"/>
      <c r="F328" s="7"/>
      <c r="G328" s="8">
        <f>SUM(G329)</f>
        <v>0</v>
      </c>
    </row>
    <row r="329" spans="1:13" x14ac:dyDescent="0.3">
      <c r="A329" s="20"/>
      <c r="B329" s="9">
        <f>B322+1</f>
        <v>38</v>
      </c>
      <c r="C329" s="15" t="s">
        <v>343</v>
      </c>
      <c r="D329" s="10" t="s">
        <v>70</v>
      </c>
      <c r="E329" s="11">
        <v>1</v>
      </c>
      <c r="F329" s="1"/>
      <c r="G329" s="12">
        <f>E329*F329</f>
        <v>0</v>
      </c>
      <c r="M329" s="1">
        <f>100000/N42</f>
        <v>107526.8817204301</v>
      </c>
    </row>
    <row r="330" spans="1:13" x14ac:dyDescent="0.3">
      <c r="A330" s="20"/>
      <c r="B330" s="3" t="s">
        <v>260</v>
      </c>
      <c r="C330" s="4" t="s">
        <v>261</v>
      </c>
      <c r="D330" s="5"/>
      <c r="E330" s="6"/>
      <c r="F330" s="7"/>
      <c r="G330" s="8">
        <f>SUM(G331:G336)</f>
        <v>0</v>
      </c>
    </row>
    <row r="331" spans="1:13" ht="16.2" x14ac:dyDescent="0.3">
      <c r="A331" s="20"/>
      <c r="B331" s="9">
        <f>B329+1</f>
        <v>39</v>
      </c>
      <c r="C331" s="15" t="s">
        <v>262</v>
      </c>
      <c r="D331" s="10" t="s">
        <v>36</v>
      </c>
      <c r="E331" s="11">
        <f>SUM(E334:E335)</f>
        <v>4.8220000000000001</v>
      </c>
      <c r="F331" s="1"/>
      <c r="G331" s="12">
        <f>E331*F331</f>
        <v>0</v>
      </c>
      <c r="M331" s="1">
        <f>300/N42</f>
        <v>322.58064516129031</v>
      </c>
    </row>
    <row r="332" spans="1:13" x14ac:dyDescent="0.3">
      <c r="A332" s="20"/>
      <c r="B332" s="9"/>
      <c r="C332" s="13" t="s">
        <v>263</v>
      </c>
      <c r="G332" s="12"/>
    </row>
    <row r="333" spans="1:13" x14ac:dyDescent="0.3">
      <c r="A333" s="20"/>
      <c r="B333"/>
      <c r="C333" s="14" t="s">
        <v>50</v>
      </c>
      <c r="E333" s="14"/>
    </row>
    <row r="334" spans="1:13" ht="16.2" x14ac:dyDescent="0.3">
      <c r="A334" s="20"/>
      <c r="B334"/>
      <c r="C334" s="14" t="s">
        <v>255</v>
      </c>
      <c r="E334" s="14">
        <v>1.3340000000000001</v>
      </c>
    </row>
    <row r="335" spans="1:13" x14ac:dyDescent="0.3">
      <c r="A335" s="20"/>
      <c r="B335"/>
      <c r="C335" s="14" t="s">
        <v>256</v>
      </c>
      <c r="D335"/>
      <c r="E335" s="14">
        <v>3.488</v>
      </c>
    </row>
    <row r="336" spans="1:13" x14ac:dyDescent="0.3">
      <c r="A336" s="20"/>
      <c r="B336" s="9">
        <f>B331+1</f>
        <v>40</v>
      </c>
      <c r="C336" s="15" t="s">
        <v>345</v>
      </c>
      <c r="D336" s="10" t="s">
        <v>70</v>
      </c>
      <c r="E336" s="11">
        <v>1</v>
      </c>
      <c r="F336" s="1"/>
      <c r="G336" s="12">
        <f>E336*F336</f>
        <v>0</v>
      </c>
      <c r="M336" s="1">
        <f>1000/N42</f>
        <v>1075.2688172043011</v>
      </c>
    </row>
    <row r="337" spans="1:13" x14ac:dyDescent="0.3">
      <c r="A337" s="20"/>
      <c r="B337" s="3" t="s">
        <v>243</v>
      </c>
      <c r="C337" s="4" t="s">
        <v>244</v>
      </c>
      <c r="D337" s="5"/>
      <c r="E337" s="6"/>
      <c r="F337" s="7"/>
      <c r="G337" s="8">
        <f>SUM(G338:G342)</f>
        <v>0</v>
      </c>
    </row>
    <row r="338" spans="1:13" x14ac:dyDescent="0.3">
      <c r="A338" s="20"/>
      <c r="B338" s="9">
        <f>B336+1</f>
        <v>41</v>
      </c>
      <c r="C338" t="s">
        <v>446</v>
      </c>
      <c r="D338" s="10" t="s">
        <v>70</v>
      </c>
      <c r="E338" s="11">
        <v>1</v>
      </c>
      <c r="F338" s="1"/>
      <c r="G338" s="12">
        <f>E338*F338</f>
        <v>0</v>
      </c>
      <c r="K338" s="38">
        <f>5*2*8*550</f>
        <v>44000</v>
      </c>
      <c r="M338" s="1">
        <f>72000/N42</f>
        <v>77419.354838709667</v>
      </c>
    </row>
    <row r="339" spans="1:13" x14ac:dyDescent="0.3">
      <c r="A339" s="20"/>
      <c r="B339" s="9"/>
      <c r="C339" s="13" t="s">
        <v>246</v>
      </c>
    </row>
    <row r="340" spans="1:13" x14ac:dyDescent="0.3">
      <c r="A340" s="20"/>
      <c r="B340" s="9">
        <f>B338+1</f>
        <v>42</v>
      </c>
      <c r="C340" t="s">
        <v>247</v>
      </c>
      <c r="D340" s="10" t="s">
        <v>70</v>
      </c>
      <c r="E340" s="11">
        <v>1</v>
      </c>
      <c r="F340" s="1"/>
      <c r="G340" s="12">
        <f>E340*F340</f>
        <v>0</v>
      </c>
      <c r="M340" s="1">
        <f>55000/N42</f>
        <v>59139.784946236556</v>
      </c>
    </row>
    <row r="341" spans="1:13" x14ac:dyDescent="0.3">
      <c r="A341" s="20"/>
      <c r="B341" s="9"/>
      <c r="C341" s="13" t="s">
        <v>248</v>
      </c>
    </row>
    <row r="342" spans="1:13" x14ac:dyDescent="0.3">
      <c r="A342" s="20"/>
      <c r="B342" s="9">
        <f>B340+1</f>
        <v>43</v>
      </c>
      <c r="C342" s="15" t="s">
        <v>346</v>
      </c>
      <c r="D342" s="10" t="s">
        <v>70</v>
      </c>
      <c r="E342" s="11">
        <v>1</v>
      </c>
      <c r="F342" s="1"/>
      <c r="G342" s="12">
        <f>E342*F342</f>
        <v>0</v>
      </c>
      <c r="M342" s="1">
        <f>10000/N42</f>
        <v>10752.68817204301</v>
      </c>
    </row>
    <row r="343" spans="1:13" x14ac:dyDescent="0.3">
      <c r="A343" s="20"/>
      <c r="B343" s="3" t="s">
        <v>227</v>
      </c>
      <c r="C343" s="4" t="s">
        <v>228</v>
      </c>
      <c r="D343" s="5"/>
      <c r="E343" s="6"/>
      <c r="F343" s="7"/>
      <c r="G343" s="8">
        <f>SUM(G344:G348)</f>
        <v>0</v>
      </c>
    </row>
    <row r="344" spans="1:13" x14ac:dyDescent="0.3">
      <c r="A344" s="20"/>
      <c r="B344" s="9">
        <f>B342+1</f>
        <v>44</v>
      </c>
      <c r="C344" t="s">
        <v>229</v>
      </c>
      <c r="D344" s="10" t="s">
        <v>70</v>
      </c>
      <c r="E344" s="11">
        <v>1</v>
      </c>
      <c r="F344" s="1"/>
      <c r="G344" s="12">
        <f>E344*F344</f>
        <v>0</v>
      </c>
      <c r="M344" s="1">
        <f>125000/N42</f>
        <v>134408.60215053763</v>
      </c>
    </row>
    <row r="345" spans="1:13" x14ac:dyDescent="0.3">
      <c r="A345" s="20"/>
      <c r="B345" s="9"/>
      <c r="C345" s="13" t="s">
        <v>312</v>
      </c>
    </row>
    <row r="346" spans="1:13" x14ac:dyDescent="0.3">
      <c r="A346" s="20"/>
      <c r="B346" s="9">
        <f>B344+1</f>
        <v>45</v>
      </c>
      <c r="C346" t="s">
        <v>230</v>
      </c>
      <c r="D346" s="10" t="s">
        <v>70</v>
      </c>
      <c r="E346" s="11">
        <v>1</v>
      </c>
      <c r="F346" s="1"/>
      <c r="G346" s="12">
        <f>E346*F346</f>
        <v>0</v>
      </c>
      <c r="M346" s="1">
        <f>160000/N42</f>
        <v>172043.01075268816</v>
      </c>
    </row>
    <row r="347" spans="1:13" x14ac:dyDescent="0.3">
      <c r="A347" s="20"/>
      <c r="B347" s="9"/>
      <c r="C347" s="13" t="s">
        <v>313</v>
      </c>
    </row>
    <row r="348" spans="1:13" x14ac:dyDescent="0.3">
      <c r="A348" s="20"/>
      <c r="B348" s="9">
        <f>B346+1</f>
        <v>46</v>
      </c>
      <c r="C348" s="15" t="s">
        <v>347</v>
      </c>
      <c r="D348" s="10" t="s">
        <v>70</v>
      </c>
      <c r="E348" s="11">
        <v>1</v>
      </c>
      <c r="F348" s="1"/>
      <c r="G348" s="12">
        <f>E348*F348</f>
        <v>0</v>
      </c>
      <c r="M348" s="1">
        <f>15000/N42</f>
        <v>16129.032258064515</v>
      </c>
    </row>
    <row r="349" spans="1:13" x14ac:dyDescent="0.3">
      <c r="A349" s="20"/>
      <c r="B349" s="3" t="s">
        <v>231</v>
      </c>
      <c r="C349" s="4" t="s">
        <v>232</v>
      </c>
      <c r="D349" s="5"/>
      <c r="E349" s="6"/>
      <c r="F349" s="7"/>
      <c r="G349" s="8">
        <f>SUM(G350:G372)</f>
        <v>0</v>
      </c>
    </row>
    <row r="350" spans="1:13" x14ac:dyDescent="0.3">
      <c r="A350" s="20"/>
      <c r="B350" s="9">
        <f>B348+1</f>
        <v>47</v>
      </c>
      <c r="C350" t="s">
        <v>233</v>
      </c>
      <c r="D350" s="10" t="s">
        <v>30</v>
      </c>
      <c r="E350" s="11">
        <f>SUM(E351:E353)</f>
        <v>10</v>
      </c>
      <c r="F350" s="1"/>
      <c r="G350" s="12">
        <f>E350*F350</f>
        <v>0</v>
      </c>
      <c r="M350" s="1">
        <f>600/N42</f>
        <v>645.16129032258061</v>
      </c>
    </row>
    <row r="351" spans="1:13" x14ac:dyDescent="0.3">
      <c r="A351" s="20"/>
      <c r="B351" s="9"/>
      <c r="C351" s="14" t="s">
        <v>234</v>
      </c>
      <c r="E351" s="14">
        <v>1</v>
      </c>
    </row>
    <row r="352" spans="1:13" x14ac:dyDescent="0.3">
      <c r="A352" s="20"/>
      <c r="B352" s="9"/>
      <c r="C352" s="14" t="s">
        <v>393</v>
      </c>
      <c r="E352" s="14">
        <v>4</v>
      </c>
    </row>
    <row r="353" spans="1:13" x14ac:dyDescent="0.3">
      <c r="A353" s="20"/>
      <c r="B353" s="9"/>
      <c r="C353" s="14" t="s">
        <v>394</v>
      </c>
      <c r="E353" s="14">
        <v>5</v>
      </c>
    </row>
    <row r="354" spans="1:13" x14ac:dyDescent="0.3">
      <c r="A354" s="20"/>
      <c r="B354" s="9">
        <f>B350+1</f>
        <v>48</v>
      </c>
      <c r="C354" t="s">
        <v>235</v>
      </c>
      <c r="D354" s="10" t="s">
        <v>30</v>
      </c>
      <c r="E354" s="11">
        <f>SUM(E355)</f>
        <v>1</v>
      </c>
      <c r="F354" s="1"/>
      <c r="G354" s="12">
        <f>E354*F354</f>
        <v>0</v>
      </c>
      <c r="M354" s="1">
        <f>550/N42</f>
        <v>591.39784946236557</v>
      </c>
    </row>
    <row r="355" spans="1:13" x14ac:dyDescent="0.3">
      <c r="A355" s="20"/>
      <c r="B355" s="9"/>
      <c r="C355" s="14" t="s">
        <v>236</v>
      </c>
      <c r="E355" s="14">
        <v>1</v>
      </c>
    </row>
    <row r="356" spans="1:13" x14ac:dyDescent="0.3">
      <c r="A356" s="20"/>
      <c r="B356" s="9">
        <f>B354+1</f>
        <v>49</v>
      </c>
      <c r="C356" t="s">
        <v>314</v>
      </c>
      <c r="D356" s="10" t="s">
        <v>30</v>
      </c>
      <c r="E356" s="11">
        <f>SUM(E358:E359)</f>
        <v>9</v>
      </c>
      <c r="F356" s="1"/>
      <c r="G356" s="12">
        <f>E356*F356</f>
        <v>0</v>
      </c>
      <c r="M356" s="1">
        <f>600/N42</f>
        <v>645.16129032258061</v>
      </c>
    </row>
    <row r="357" spans="1:13" x14ac:dyDescent="0.3">
      <c r="A357" s="20"/>
      <c r="B357" s="9"/>
      <c r="C357" s="14" t="s">
        <v>50</v>
      </c>
      <c r="E357" s="14"/>
      <c r="G357" s="12"/>
    </row>
    <row r="358" spans="1:13" x14ac:dyDescent="0.3">
      <c r="A358" s="20"/>
      <c r="B358" s="9"/>
      <c r="C358" s="14" t="s">
        <v>393</v>
      </c>
      <c r="E358" s="14">
        <v>4</v>
      </c>
      <c r="G358" s="12"/>
    </row>
    <row r="359" spans="1:13" x14ac:dyDescent="0.3">
      <c r="A359" s="20"/>
      <c r="B359" s="9"/>
      <c r="C359" s="14" t="s">
        <v>394</v>
      </c>
      <c r="E359" s="14">
        <v>5</v>
      </c>
    </row>
    <row r="360" spans="1:13" x14ac:dyDescent="0.3">
      <c r="A360" s="20"/>
      <c r="B360" s="9">
        <f>B356+1</f>
        <v>50</v>
      </c>
      <c r="C360" t="s">
        <v>359</v>
      </c>
      <c r="D360" s="10" t="s">
        <v>70</v>
      </c>
      <c r="E360" s="11">
        <v>9</v>
      </c>
      <c r="F360" s="1"/>
      <c r="G360" s="12">
        <f>E360*F360</f>
        <v>0</v>
      </c>
      <c r="K360" s="38">
        <f>4500+4000+1500+5*550</f>
        <v>12750</v>
      </c>
      <c r="M360" s="1">
        <f>15000/N42</f>
        <v>16129.032258064515</v>
      </c>
    </row>
    <row r="361" spans="1:13" ht="28.8" x14ac:dyDescent="0.3">
      <c r="A361" s="20"/>
      <c r="B361" s="9"/>
      <c r="C361" s="13" t="s">
        <v>360</v>
      </c>
    </row>
    <row r="362" spans="1:13" x14ac:dyDescent="0.3">
      <c r="A362" s="20"/>
      <c r="B362" s="9">
        <f>B360+1</f>
        <v>51</v>
      </c>
      <c r="C362" t="s">
        <v>268</v>
      </c>
      <c r="D362" s="10" t="s">
        <v>70</v>
      </c>
      <c r="E362" s="11">
        <v>9</v>
      </c>
      <c r="F362" s="1"/>
      <c r="G362" s="12">
        <f>E362*F362</f>
        <v>0</v>
      </c>
      <c r="K362" s="38">
        <f>500+2000+2000+3*550</f>
        <v>6150</v>
      </c>
      <c r="M362" s="1">
        <f>5800/N42</f>
        <v>6236.5591397849457</v>
      </c>
    </row>
    <row r="363" spans="1:13" x14ac:dyDescent="0.3">
      <c r="A363" s="20"/>
      <c r="B363" s="9"/>
      <c r="C363" s="13" t="s">
        <v>447</v>
      </c>
    </row>
    <row r="364" spans="1:13" x14ac:dyDescent="0.3">
      <c r="A364" s="20"/>
      <c r="B364" s="9">
        <f>B362+1</f>
        <v>52</v>
      </c>
      <c r="C364" t="s">
        <v>237</v>
      </c>
      <c r="D364" s="10" t="s">
        <v>70</v>
      </c>
      <c r="E364" s="11">
        <v>1</v>
      </c>
      <c r="F364" s="1"/>
      <c r="G364" s="12">
        <f>E364*F364</f>
        <v>0</v>
      </c>
      <c r="K364" s="38">
        <f>4300+2000+1000+2*550</f>
        <v>8400</v>
      </c>
      <c r="M364" s="1">
        <f>8500/N42</f>
        <v>9139.7849462365593</v>
      </c>
    </row>
    <row r="365" spans="1:13" x14ac:dyDescent="0.3">
      <c r="A365" s="20"/>
      <c r="B365" s="9"/>
      <c r="C365" s="13" t="s">
        <v>238</v>
      </c>
    </row>
    <row r="366" spans="1:13" x14ac:dyDescent="0.3">
      <c r="A366" s="20"/>
      <c r="B366" s="9">
        <f>B364+1</f>
        <v>53</v>
      </c>
      <c r="C366" t="s">
        <v>361</v>
      </c>
      <c r="D366" s="10" t="s">
        <v>70</v>
      </c>
      <c r="E366" s="11">
        <v>1</v>
      </c>
      <c r="F366" s="1"/>
      <c r="G366" s="12">
        <f>E366*F366</f>
        <v>0</v>
      </c>
      <c r="K366" s="38">
        <f>4500+4000+1500+5*550</f>
        <v>12750</v>
      </c>
      <c r="M366" s="1">
        <f>15500/N42</f>
        <v>16666.666666666664</v>
      </c>
    </row>
    <row r="367" spans="1:13" ht="28.8" x14ac:dyDescent="0.3">
      <c r="A367" s="20"/>
      <c r="B367" s="9"/>
      <c r="C367" s="13" t="s">
        <v>362</v>
      </c>
    </row>
    <row r="368" spans="1:13" x14ac:dyDescent="0.3">
      <c r="A368" s="20"/>
      <c r="B368" s="9">
        <f>B366+1</f>
        <v>54</v>
      </c>
      <c r="C368" t="s">
        <v>239</v>
      </c>
      <c r="D368" s="10" t="s">
        <v>70</v>
      </c>
      <c r="E368" s="11">
        <v>1</v>
      </c>
      <c r="F368" s="1"/>
      <c r="G368" s="12">
        <f>E368*F368</f>
        <v>0</v>
      </c>
      <c r="M368" s="1">
        <f>6200/N42</f>
        <v>6666.6666666666661</v>
      </c>
    </row>
    <row r="369" spans="1:13" ht="28.8" x14ac:dyDescent="0.3">
      <c r="A369" s="20"/>
      <c r="B369" s="9"/>
      <c r="C369" s="13" t="s">
        <v>240</v>
      </c>
    </row>
    <row r="370" spans="1:13" x14ac:dyDescent="0.3">
      <c r="A370" s="20"/>
      <c r="B370" s="9">
        <f>B368+1</f>
        <v>55</v>
      </c>
      <c r="C370" t="s">
        <v>241</v>
      </c>
      <c r="D370" s="10" t="s">
        <v>70</v>
      </c>
      <c r="E370" s="11">
        <v>1</v>
      </c>
      <c r="F370" s="1"/>
      <c r="G370" s="12">
        <f>E370*F370</f>
        <v>0</v>
      </c>
      <c r="M370" s="1">
        <f>10000/N42</f>
        <v>10752.68817204301</v>
      </c>
    </row>
    <row r="371" spans="1:13" x14ac:dyDescent="0.3">
      <c r="A371" s="20"/>
      <c r="B371" s="9"/>
      <c r="C371" s="13" t="s">
        <v>242</v>
      </c>
    </row>
    <row r="372" spans="1:13" x14ac:dyDescent="0.3">
      <c r="A372" s="20"/>
      <c r="B372" s="9">
        <f>B370+1</f>
        <v>56</v>
      </c>
      <c r="C372" s="15" t="s">
        <v>348</v>
      </c>
      <c r="D372" s="10" t="s">
        <v>70</v>
      </c>
      <c r="E372" s="11">
        <v>1</v>
      </c>
      <c r="F372" s="1"/>
      <c r="G372" s="12">
        <f>E372*F372</f>
        <v>0</v>
      </c>
      <c r="M372" s="1">
        <f>20000/N42</f>
        <v>21505.37634408602</v>
      </c>
    </row>
    <row r="373" spans="1:13" x14ac:dyDescent="0.3">
      <c r="A373" s="20"/>
      <c r="B373" s="3" t="s">
        <v>249</v>
      </c>
      <c r="C373" s="4" t="s">
        <v>250</v>
      </c>
      <c r="D373" s="5"/>
      <c r="E373" s="6"/>
      <c r="F373" s="7"/>
      <c r="G373" s="8">
        <f>SUM(G374:G377)</f>
        <v>0</v>
      </c>
    </row>
    <row r="374" spans="1:13" x14ac:dyDescent="0.3">
      <c r="A374" s="20"/>
      <c r="B374" s="9">
        <f>B372+1</f>
        <v>57</v>
      </c>
      <c r="C374" t="s">
        <v>315</v>
      </c>
      <c r="D374" s="10" t="s">
        <v>70</v>
      </c>
      <c r="E374" s="11">
        <v>4</v>
      </c>
      <c r="F374" s="1"/>
      <c r="G374" s="12">
        <f>E374*F374</f>
        <v>0</v>
      </c>
      <c r="M374" s="1">
        <f>1500/N42</f>
        <v>1612.9032258064515</v>
      </c>
    </row>
    <row r="375" spans="1:13" x14ac:dyDescent="0.3">
      <c r="A375" s="20"/>
      <c r="B375" s="9">
        <f>B374+1</f>
        <v>58</v>
      </c>
      <c r="C375" t="s">
        <v>251</v>
      </c>
      <c r="D375" s="10" t="s">
        <v>70</v>
      </c>
      <c r="E375" s="11">
        <v>5</v>
      </c>
      <c r="F375" s="1"/>
      <c r="G375" s="12">
        <f>E375*F375</f>
        <v>0</v>
      </c>
      <c r="K375" s="38">
        <f>800+1000+400+4*550</f>
        <v>4400</v>
      </c>
      <c r="M375" s="1">
        <f>4500/N42</f>
        <v>4838.7096774193542</v>
      </c>
    </row>
    <row r="376" spans="1:13" x14ac:dyDescent="0.3">
      <c r="A376" s="20"/>
      <c r="B376" s="9"/>
      <c r="C376" s="13" t="s">
        <v>395</v>
      </c>
    </row>
    <row r="377" spans="1:13" x14ac:dyDescent="0.3">
      <c r="A377" s="20"/>
      <c r="B377" s="9">
        <f>B375+1</f>
        <v>59</v>
      </c>
      <c r="C377" s="15" t="s">
        <v>349</v>
      </c>
      <c r="D377" s="10" t="s">
        <v>70</v>
      </c>
      <c r="E377" s="11">
        <v>1</v>
      </c>
      <c r="F377" s="1"/>
      <c r="G377" s="12">
        <f>E377*F377</f>
        <v>0</v>
      </c>
      <c r="M377" s="1">
        <f>3000/N42</f>
        <v>3225.8064516129029</v>
      </c>
    </row>
    <row r="378" spans="1:13" x14ac:dyDescent="0.3">
      <c r="A378" s="20"/>
      <c r="B378" s="3" t="s">
        <v>62</v>
      </c>
      <c r="C378" s="4" t="s">
        <v>63</v>
      </c>
      <c r="D378" s="5"/>
      <c r="E378" s="6"/>
      <c r="F378" s="7"/>
      <c r="G378" s="8">
        <f>SUM(G379:G426)</f>
        <v>0</v>
      </c>
    </row>
    <row r="379" spans="1:13" x14ac:dyDescent="0.3">
      <c r="A379" s="20"/>
      <c r="B379" s="9">
        <f>B377+1</f>
        <v>60</v>
      </c>
      <c r="C379" s="15" t="s">
        <v>396</v>
      </c>
      <c r="D379" s="10" t="s">
        <v>30</v>
      </c>
      <c r="E379" s="11">
        <f>SUM(E380:E384)</f>
        <v>30</v>
      </c>
      <c r="F379" s="1"/>
      <c r="G379" s="12">
        <f>E379*F379</f>
        <v>0</v>
      </c>
      <c r="M379" s="1">
        <f>300/N42</f>
        <v>322.58064516129031</v>
      </c>
    </row>
    <row r="380" spans="1:13" x14ac:dyDescent="0.3">
      <c r="A380" s="20"/>
      <c r="B380" s="9"/>
      <c r="C380" s="14" t="s">
        <v>66</v>
      </c>
      <c r="F380" s="12"/>
      <c r="G380" s="12"/>
      <c r="M380" s="12"/>
    </row>
    <row r="381" spans="1:13" x14ac:dyDescent="0.3">
      <c r="A381" s="20"/>
      <c r="B381" s="9"/>
      <c r="C381" s="14" t="s">
        <v>334</v>
      </c>
      <c r="E381" s="14">
        <v>9</v>
      </c>
      <c r="F381" s="12"/>
      <c r="G381" s="12"/>
      <c r="M381" s="12"/>
    </row>
    <row r="382" spans="1:13" x14ac:dyDescent="0.3">
      <c r="A382" s="20"/>
      <c r="B382" s="9"/>
      <c r="C382" s="14" t="s">
        <v>64</v>
      </c>
      <c r="E382" s="14">
        <v>6</v>
      </c>
      <c r="F382" s="12"/>
      <c r="G382" s="12"/>
      <c r="M382" s="12"/>
    </row>
    <row r="383" spans="1:13" x14ac:dyDescent="0.3">
      <c r="A383" s="20"/>
      <c r="B383" s="9"/>
      <c r="C383" s="14" t="s">
        <v>397</v>
      </c>
      <c r="E383" s="14">
        <v>6</v>
      </c>
      <c r="F383" s="12"/>
      <c r="G383" s="12"/>
      <c r="M383" s="12"/>
    </row>
    <row r="384" spans="1:13" x14ac:dyDescent="0.3">
      <c r="A384" s="20"/>
      <c r="B384" s="9"/>
      <c r="C384" s="14" t="s">
        <v>398</v>
      </c>
      <c r="E384" s="14">
        <v>9</v>
      </c>
      <c r="F384" s="12"/>
      <c r="G384" s="12"/>
      <c r="M384" s="12"/>
    </row>
    <row r="385" spans="1:13" x14ac:dyDescent="0.3">
      <c r="A385" s="20"/>
      <c r="B385" s="9">
        <f>B379+1</f>
        <v>61</v>
      </c>
      <c r="C385" s="15" t="s">
        <v>65</v>
      </c>
      <c r="D385" s="10" t="s">
        <v>30</v>
      </c>
      <c r="E385" s="11">
        <f>SUM(E387)</f>
        <v>1</v>
      </c>
      <c r="F385" s="1"/>
      <c r="G385" s="12">
        <f>E385*F385</f>
        <v>0</v>
      </c>
      <c r="M385" s="1">
        <f>600/N42</f>
        <v>645.16129032258061</v>
      </c>
    </row>
    <row r="386" spans="1:13" x14ac:dyDescent="0.3">
      <c r="A386" s="20"/>
      <c r="B386" s="9"/>
      <c r="C386" s="14" t="s">
        <v>66</v>
      </c>
      <c r="F386" s="12"/>
      <c r="G386" s="12"/>
      <c r="M386" s="12"/>
    </row>
    <row r="387" spans="1:13" x14ac:dyDescent="0.3">
      <c r="A387" s="20"/>
      <c r="B387" s="9"/>
      <c r="C387" s="14" t="s">
        <v>67</v>
      </c>
      <c r="E387" s="14">
        <v>1</v>
      </c>
      <c r="F387" s="12"/>
      <c r="G387" s="12"/>
      <c r="M387" s="12"/>
    </row>
    <row r="388" spans="1:13" x14ac:dyDescent="0.3">
      <c r="A388" s="20"/>
      <c r="B388" s="9">
        <f>B385+1</f>
        <v>62</v>
      </c>
      <c r="C388" s="15" t="s">
        <v>68</v>
      </c>
      <c r="D388" s="10" t="s">
        <v>30</v>
      </c>
      <c r="E388" s="11">
        <f>SUM(E390:E393)</f>
        <v>30</v>
      </c>
      <c r="F388" s="1"/>
      <c r="G388" s="12">
        <f>E388*F388</f>
        <v>0</v>
      </c>
      <c r="M388" s="1">
        <f>420/N42</f>
        <v>451.61290322580641</v>
      </c>
    </row>
    <row r="389" spans="1:13" x14ac:dyDescent="0.3">
      <c r="A389" s="20"/>
      <c r="B389" s="9"/>
      <c r="C389" s="14" t="s">
        <v>66</v>
      </c>
      <c r="F389" s="12"/>
      <c r="G389" s="12"/>
      <c r="M389" s="12"/>
    </row>
    <row r="390" spans="1:13" x14ac:dyDescent="0.3">
      <c r="A390" s="20"/>
      <c r="B390" s="9"/>
      <c r="C390" s="14" t="s">
        <v>334</v>
      </c>
      <c r="E390" s="14">
        <v>9</v>
      </c>
      <c r="F390" s="12"/>
      <c r="G390" s="12"/>
      <c r="M390" s="12"/>
    </row>
    <row r="391" spans="1:13" x14ac:dyDescent="0.3">
      <c r="A391" s="20"/>
      <c r="B391" s="9"/>
      <c r="C391" s="14" t="s">
        <v>64</v>
      </c>
      <c r="E391" s="14">
        <v>6</v>
      </c>
      <c r="F391" s="12"/>
      <c r="G391" s="12"/>
      <c r="M391" s="12"/>
    </row>
    <row r="392" spans="1:13" x14ac:dyDescent="0.3">
      <c r="A392" s="20"/>
      <c r="B392" s="9"/>
      <c r="C392" s="14" t="s">
        <v>397</v>
      </c>
      <c r="E392" s="14">
        <v>6</v>
      </c>
      <c r="F392" s="12"/>
      <c r="G392" s="12"/>
      <c r="M392" s="12"/>
    </row>
    <row r="393" spans="1:13" x14ac:dyDescent="0.3">
      <c r="A393" s="20"/>
      <c r="B393" s="9"/>
      <c r="C393" s="14" t="s">
        <v>398</v>
      </c>
      <c r="E393" s="14">
        <v>9</v>
      </c>
      <c r="F393" s="12"/>
      <c r="G393" s="12"/>
      <c r="M393" s="12"/>
    </row>
    <row r="394" spans="1:13" x14ac:dyDescent="0.3">
      <c r="A394" s="20"/>
      <c r="B394" s="9">
        <f>B388+1</f>
        <v>63</v>
      </c>
      <c r="C394" s="15" t="s">
        <v>69</v>
      </c>
      <c r="D394" s="10" t="s">
        <v>30</v>
      </c>
      <c r="E394" s="11">
        <f>E396</f>
        <v>1</v>
      </c>
      <c r="F394" s="1"/>
      <c r="G394" s="12">
        <f>E394*F394</f>
        <v>0</v>
      </c>
      <c r="M394" s="1">
        <f>840/N42</f>
        <v>903.22580645161281</v>
      </c>
    </row>
    <row r="395" spans="1:13" x14ac:dyDescent="0.3">
      <c r="A395" s="20"/>
      <c r="B395" s="9"/>
      <c r="C395" s="14" t="s">
        <v>66</v>
      </c>
      <c r="F395" s="12"/>
      <c r="G395" s="12"/>
      <c r="M395" s="12"/>
    </row>
    <row r="396" spans="1:13" x14ac:dyDescent="0.3">
      <c r="A396" s="20"/>
      <c r="B396" s="9"/>
      <c r="C396" s="14" t="s">
        <v>67</v>
      </c>
      <c r="E396" s="14">
        <v>1</v>
      </c>
      <c r="F396" s="12"/>
      <c r="G396" s="12"/>
      <c r="M396" s="12"/>
    </row>
    <row r="397" spans="1:13" x14ac:dyDescent="0.3">
      <c r="A397" s="20"/>
      <c r="B397" s="9">
        <f>B394+1</f>
        <v>64</v>
      </c>
      <c r="C397" s="15" t="s">
        <v>329</v>
      </c>
      <c r="D397" s="10" t="s">
        <v>30</v>
      </c>
      <c r="E397" s="11">
        <f>SUM(E399:E402)</f>
        <v>30</v>
      </c>
      <c r="F397" s="1"/>
      <c r="G397" s="12">
        <f>E397*F397</f>
        <v>0</v>
      </c>
      <c r="M397" s="1">
        <f>600/N42</f>
        <v>645.16129032258061</v>
      </c>
    </row>
    <row r="398" spans="1:13" x14ac:dyDescent="0.3">
      <c r="A398" s="20"/>
      <c r="B398" s="9"/>
      <c r="C398" s="14" t="s">
        <v>50</v>
      </c>
      <c r="E398" s="14"/>
      <c r="F398" s="12"/>
      <c r="G398" s="12"/>
      <c r="M398" s="12"/>
    </row>
    <row r="399" spans="1:13" x14ac:dyDescent="0.3">
      <c r="A399" s="20"/>
      <c r="B399" s="9"/>
      <c r="C399" s="14" t="s">
        <v>334</v>
      </c>
      <c r="E399" s="14">
        <v>9</v>
      </c>
      <c r="F399" s="12"/>
      <c r="G399" s="12"/>
      <c r="M399" s="12"/>
    </row>
    <row r="400" spans="1:13" x14ac:dyDescent="0.3">
      <c r="A400" s="20"/>
      <c r="B400" s="9"/>
      <c r="C400" s="14" t="s">
        <v>64</v>
      </c>
      <c r="E400" s="14">
        <v>6</v>
      </c>
      <c r="F400" s="12"/>
      <c r="G400" s="12"/>
      <c r="M400" s="12"/>
    </row>
    <row r="401" spans="1:13" x14ac:dyDescent="0.3">
      <c r="A401" s="20"/>
      <c r="B401" s="9"/>
      <c r="C401" s="14" t="s">
        <v>397</v>
      </c>
      <c r="E401" s="14">
        <v>6</v>
      </c>
      <c r="F401" s="12"/>
      <c r="G401" s="12"/>
      <c r="M401" s="12"/>
    </row>
    <row r="402" spans="1:13" x14ac:dyDescent="0.3">
      <c r="A402" s="20"/>
      <c r="B402" s="9"/>
      <c r="C402" s="14" t="s">
        <v>398</v>
      </c>
      <c r="E402" s="14">
        <v>9</v>
      </c>
      <c r="F402" s="12"/>
      <c r="G402" s="12"/>
      <c r="M402" s="12"/>
    </row>
    <row r="403" spans="1:13" x14ac:dyDescent="0.3">
      <c r="A403" s="20"/>
      <c r="B403" s="9">
        <f>B397+1</f>
        <v>65</v>
      </c>
      <c r="C403" s="15" t="s">
        <v>333</v>
      </c>
      <c r="D403" s="10" t="s">
        <v>30</v>
      </c>
      <c r="E403" s="11">
        <f>SUM(E405:E406)</f>
        <v>7</v>
      </c>
      <c r="F403" s="1"/>
      <c r="G403" s="12">
        <f>E403*F403</f>
        <v>0</v>
      </c>
      <c r="M403" s="1">
        <f>1600/N42</f>
        <v>1720.4301075268816</v>
      </c>
    </row>
    <row r="404" spans="1:13" x14ac:dyDescent="0.3">
      <c r="A404" s="20"/>
      <c r="B404" s="9"/>
      <c r="C404" s="14" t="s">
        <v>50</v>
      </c>
      <c r="E404" s="14"/>
      <c r="F404" s="12"/>
      <c r="G404" s="12"/>
      <c r="M404" s="12"/>
    </row>
    <row r="405" spans="1:13" x14ac:dyDescent="0.3">
      <c r="A405" s="20"/>
      <c r="B405" s="9"/>
      <c r="C405" s="14" t="s">
        <v>331</v>
      </c>
      <c r="E405" s="14">
        <v>4</v>
      </c>
      <c r="F405" s="12"/>
      <c r="G405" s="12"/>
      <c r="M405" s="12"/>
    </row>
    <row r="406" spans="1:13" x14ac:dyDescent="0.3">
      <c r="A406" s="20"/>
      <c r="B406" s="9"/>
      <c r="C406" s="14" t="s">
        <v>335</v>
      </c>
      <c r="E406" s="14">
        <v>3</v>
      </c>
      <c r="F406" s="12"/>
      <c r="G406" s="12"/>
      <c r="M406" s="12"/>
    </row>
    <row r="407" spans="1:13" x14ac:dyDescent="0.3">
      <c r="A407" s="20"/>
      <c r="B407" s="9">
        <f>B403+1</f>
        <v>66</v>
      </c>
      <c r="C407" s="15" t="s">
        <v>336</v>
      </c>
      <c r="D407" s="10" t="s">
        <v>30</v>
      </c>
      <c r="E407" s="11">
        <f>SUM(E409:E410)</f>
        <v>6</v>
      </c>
      <c r="F407" s="1"/>
      <c r="G407" s="12">
        <f>E407*F407</f>
        <v>0</v>
      </c>
      <c r="M407" s="1">
        <f>1550/N42</f>
        <v>1666.6666666666665</v>
      </c>
    </row>
    <row r="408" spans="1:13" x14ac:dyDescent="0.3">
      <c r="A408" s="20"/>
      <c r="B408" s="9"/>
      <c r="C408" s="14" t="s">
        <v>50</v>
      </c>
      <c r="E408" s="14"/>
      <c r="F408" s="12"/>
      <c r="G408" s="12"/>
      <c r="M408" s="12"/>
    </row>
    <row r="409" spans="1:13" x14ac:dyDescent="0.3">
      <c r="A409" s="20"/>
      <c r="B409" s="9"/>
      <c r="C409" s="14" t="s">
        <v>331</v>
      </c>
      <c r="E409" s="14">
        <v>4</v>
      </c>
      <c r="F409" s="12"/>
      <c r="G409" s="12"/>
      <c r="M409" s="12"/>
    </row>
    <row r="410" spans="1:13" x14ac:dyDescent="0.3">
      <c r="A410" s="20"/>
      <c r="B410" s="9"/>
      <c r="C410" s="14" t="s">
        <v>337</v>
      </c>
      <c r="E410" s="14">
        <v>2</v>
      </c>
      <c r="F410" s="12"/>
      <c r="G410" s="12"/>
      <c r="M410" s="12"/>
    </row>
    <row r="411" spans="1:13" x14ac:dyDescent="0.3">
      <c r="A411" s="20"/>
      <c r="B411" s="9">
        <f>B407+1</f>
        <v>67</v>
      </c>
      <c r="C411" s="15" t="s">
        <v>332</v>
      </c>
      <c r="D411" s="10" t="s">
        <v>30</v>
      </c>
      <c r="E411" s="11">
        <f>SUM(E413:E415)</f>
        <v>3</v>
      </c>
      <c r="F411" s="1"/>
      <c r="G411" s="12">
        <f>E411*F411</f>
        <v>0</v>
      </c>
      <c r="M411" s="1">
        <f>1500/N42</f>
        <v>1612.9032258064515</v>
      </c>
    </row>
    <row r="412" spans="1:13" x14ac:dyDescent="0.3">
      <c r="A412" s="20"/>
      <c r="B412" s="9"/>
      <c r="C412" s="14" t="s">
        <v>50</v>
      </c>
      <c r="E412" s="14"/>
      <c r="F412" s="12"/>
      <c r="G412" s="12"/>
      <c r="M412" s="12"/>
    </row>
    <row r="413" spans="1:13" x14ac:dyDescent="0.3">
      <c r="A413" s="20"/>
      <c r="B413" s="9"/>
      <c r="C413" s="14" t="s">
        <v>67</v>
      </c>
      <c r="E413" s="14">
        <v>1</v>
      </c>
      <c r="F413" s="12"/>
      <c r="G413" s="12"/>
      <c r="M413" s="12"/>
    </row>
    <row r="414" spans="1:13" x14ac:dyDescent="0.3">
      <c r="A414" s="20"/>
      <c r="B414" s="9"/>
      <c r="C414" s="14" t="s">
        <v>338</v>
      </c>
      <c r="E414" s="14">
        <v>1</v>
      </c>
      <c r="F414" s="12"/>
      <c r="G414" s="12"/>
      <c r="M414" s="12"/>
    </row>
    <row r="415" spans="1:13" x14ac:dyDescent="0.3">
      <c r="A415" s="20"/>
      <c r="B415" s="9"/>
      <c r="C415" s="14" t="s">
        <v>399</v>
      </c>
      <c r="E415" s="14">
        <v>1</v>
      </c>
      <c r="F415" s="12"/>
      <c r="G415" s="12"/>
      <c r="M415" s="12"/>
    </row>
    <row r="416" spans="1:13" x14ac:dyDescent="0.3">
      <c r="A416" s="20"/>
      <c r="B416" s="9">
        <f>B411+1</f>
        <v>68</v>
      </c>
      <c r="C416" s="15" t="s">
        <v>330</v>
      </c>
      <c r="D416" s="10" t="s">
        <v>30</v>
      </c>
      <c r="E416" s="11">
        <f>SUM(E418:E419)</f>
        <v>14</v>
      </c>
      <c r="F416" s="1"/>
      <c r="G416" s="12">
        <f>E416*F416</f>
        <v>0</v>
      </c>
      <c r="M416" s="1">
        <f>1450/N42</f>
        <v>1559.1397849462364</v>
      </c>
    </row>
    <row r="417" spans="1:13" x14ac:dyDescent="0.3">
      <c r="A417" s="20"/>
      <c r="B417" s="9"/>
      <c r="C417" s="14" t="s">
        <v>66</v>
      </c>
      <c r="F417" s="12"/>
      <c r="G417" s="12"/>
      <c r="M417" s="12"/>
    </row>
    <row r="418" spans="1:13" x14ac:dyDescent="0.3">
      <c r="A418" s="20"/>
      <c r="B418" s="9"/>
      <c r="C418" s="14" t="s">
        <v>400</v>
      </c>
      <c r="E418" s="14">
        <v>5</v>
      </c>
      <c r="F418" s="12"/>
      <c r="G418" s="12"/>
      <c r="M418" s="12"/>
    </row>
    <row r="419" spans="1:13" x14ac:dyDescent="0.3">
      <c r="A419" s="20"/>
      <c r="B419" s="9"/>
      <c r="C419" s="14" t="s">
        <v>310</v>
      </c>
      <c r="E419" s="14">
        <v>9</v>
      </c>
      <c r="F419" s="12"/>
      <c r="G419" s="12"/>
      <c r="M419" s="12"/>
    </row>
    <row r="420" spans="1:13" x14ac:dyDescent="0.3">
      <c r="A420" s="20"/>
      <c r="B420" s="9">
        <f>B416+1</f>
        <v>69</v>
      </c>
      <c r="C420" s="15" t="s">
        <v>339</v>
      </c>
      <c r="D420" s="10" t="s">
        <v>30</v>
      </c>
      <c r="E420" s="11">
        <f>SUM(E422:E422)</f>
        <v>1</v>
      </c>
      <c r="F420" s="1"/>
      <c r="G420" s="12">
        <f>E420*F420</f>
        <v>0</v>
      </c>
      <c r="M420" s="1">
        <f>1000/N42</f>
        <v>1075.2688172043011</v>
      </c>
    </row>
    <row r="421" spans="1:13" x14ac:dyDescent="0.3">
      <c r="A421" s="20"/>
      <c r="B421" s="9"/>
      <c r="C421" s="14" t="s">
        <v>50</v>
      </c>
      <c r="E421" s="14"/>
      <c r="F421" s="12"/>
      <c r="G421" s="12"/>
      <c r="M421" s="12"/>
    </row>
    <row r="422" spans="1:13" x14ac:dyDescent="0.3">
      <c r="A422" s="20"/>
      <c r="B422" s="9"/>
      <c r="C422" s="14" t="s">
        <v>67</v>
      </c>
      <c r="E422" s="14">
        <v>1</v>
      </c>
      <c r="F422" s="12"/>
      <c r="G422" s="12"/>
      <c r="M422" s="12"/>
    </row>
    <row r="423" spans="1:13" x14ac:dyDescent="0.3">
      <c r="A423" s="20"/>
      <c r="B423" s="9">
        <f>B420+1</f>
        <v>70</v>
      </c>
      <c r="C423" s="15" t="s">
        <v>340</v>
      </c>
      <c r="D423" s="10" t="s">
        <v>30</v>
      </c>
      <c r="E423" s="11">
        <f>SUM(E425:E425)</f>
        <v>1</v>
      </c>
      <c r="F423" s="1"/>
      <c r="G423" s="12">
        <f>E423*F423</f>
        <v>0</v>
      </c>
      <c r="M423" s="1">
        <f>2500/N42</f>
        <v>2688.1720430107525</v>
      </c>
    </row>
    <row r="424" spans="1:13" x14ac:dyDescent="0.3">
      <c r="A424" s="20"/>
      <c r="B424" s="9"/>
      <c r="C424" s="14" t="s">
        <v>50</v>
      </c>
      <c r="E424" s="14"/>
      <c r="F424" s="12"/>
      <c r="G424" s="12"/>
      <c r="M424" s="12"/>
    </row>
    <row r="425" spans="1:13" x14ac:dyDescent="0.3">
      <c r="A425" s="20"/>
      <c r="B425" s="9"/>
      <c r="C425" s="14" t="s">
        <v>67</v>
      </c>
      <c r="E425" s="14">
        <v>1</v>
      </c>
      <c r="F425" s="12"/>
      <c r="G425" s="12"/>
      <c r="M425" s="12"/>
    </row>
    <row r="426" spans="1:13" x14ac:dyDescent="0.3">
      <c r="A426" s="20"/>
      <c r="B426" s="9">
        <f>B423+1</f>
        <v>71</v>
      </c>
      <c r="C426" s="15" t="s">
        <v>350</v>
      </c>
      <c r="D426" s="10" t="s">
        <v>70</v>
      </c>
      <c r="E426" s="11">
        <v>1</v>
      </c>
      <c r="F426" s="1"/>
      <c r="G426" s="12">
        <f>E426*F426</f>
        <v>0</v>
      </c>
      <c r="M426" s="1">
        <f>10000/N42</f>
        <v>10752.68817204301</v>
      </c>
    </row>
    <row r="427" spans="1:13" x14ac:dyDescent="0.3">
      <c r="A427" s="20"/>
      <c r="B427" s="3" t="s">
        <v>319</v>
      </c>
      <c r="C427" s="4" t="s">
        <v>320</v>
      </c>
      <c r="D427" s="5"/>
      <c r="E427" s="6"/>
      <c r="F427" s="7"/>
      <c r="G427" s="8">
        <f>SUM(G428:G430)</f>
        <v>0</v>
      </c>
    </row>
    <row r="428" spans="1:13" x14ac:dyDescent="0.3">
      <c r="A428" s="20"/>
      <c r="B428" s="9">
        <f>B426+1</f>
        <v>72</v>
      </c>
      <c r="C428" s="15" t="s">
        <v>321</v>
      </c>
      <c r="D428" s="10" t="s">
        <v>70</v>
      </c>
      <c r="E428" s="11">
        <v>1</v>
      </c>
      <c r="F428" s="1"/>
      <c r="G428" s="12">
        <f>E428*F428</f>
        <v>0</v>
      </c>
      <c r="M428" s="1">
        <f>15000/N42</f>
        <v>16129.032258064515</v>
      </c>
    </row>
    <row r="429" spans="1:13" x14ac:dyDescent="0.3">
      <c r="A429" s="20"/>
      <c r="B429" s="9">
        <f>B428+1</f>
        <v>73</v>
      </c>
      <c r="C429" s="15" t="s">
        <v>322</v>
      </c>
      <c r="D429" s="10" t="s">
        <v>70</v>
      </c>
      <c r="E429" s="11">
        <v>1</v>
      </c>
      <c r="F429" s="1"/>
      <c r="G429" s="12">
        <f>E429*F429</f>
        <v>0</v>
      </c>
      <c r="M429" s="1">
        <f>55000/N42</f>
        <v>59139.784946236556</v>
      </c>
    </row>
    <row r="430" spans="1:13" x14ac:dyDescent="0.3">
      <c r="A430" s="20"/>
      <c r="B430" s="9">
        <f>B429+1</f>
        <v>74</v>
      </c>
      <c r="C430" s="15" t="s">
        <v>358</v>
      </c>
      <c r="D430" s="10" t="s">
        <v>70</v>
      </c>
      <c r="E430" s="11">
        <v>1</v>
      </c>
      <c r="F430" s="1"/>
      <c r="G430" s="12">
        <f>E430*F430</f>
        <v>0</v>
      </c>
      <c r="M430" s="1">
        <f>10000/N42</f>
        <v>10752.68817204301</v>
      </c>
    </row>
    <row r="431" spans="1:13" x14ac:dyDescent="0.3">
      <c r="A431" s="20"/>
      <c r="B431" s="3" t="s">
        <v>252</v>
      </c>
      <c r="C431" s="4" t="s">
        <v>253</v>
      </c>
      <c r="D431" s="5"/>
      <c r="E431" s="6"/>
      <c r="F431" s="7"/>
      <c r="G431" s="8">
        <f>SUM(G432:G448)</f>
        <v>0</v>
      </c>
    </row>
    <row r="432" spans="1:13" ht="16.2" x14ac:dyDescent="0.3">
      <c r="A432" s="20"/>
      <c r="B432" s="9">
        <f>B430+1</f>
        <v>75</v>
      </c>
      <c r="C432" s="15" t="s">
        <v>254</v>
      </c>
      <c r="D432" s="10" t="s">
        <v>36</v>
      </c>
      <c r="E432" s="11">
        <f>SUM(E434:E437)</f>
        <v>34.590000000000003</v>
      </c>
      <c r="F432" s="1"/>
      <c r="G432" s="12">
        <f>E432*F432</f>
        <v>0</v>
      </c>
      <c r="M432" s="1">
        <f>750/N42</f>
        <v>806.45161290322574</v>
      </c>
    </row>
    <row r="433" spans="1:13" x14ac:dyDescent="0.3">
      <c r="A433" s="20"/>
      <c r="B433"/>
      <c r="C433" s="14" t="s">
        <v>50</v>
      </c>
      <c r="E433" s="14"/>
    </row>
    <row r="434" spans="1:13" ht="16.2" x14ac:dyDescent="0.3">
      <c r="A434" s="20"/>
      <c r="B434"/>
      <c r="C434" s="14" t="s">
        <v>255</v>
      </c>
      <c r="E434" s="14">
        <v>1.3340000000000001</v>
      </c>
    </row>
    <row r="435" spans="1:13" x14ac:dyDescent="0.3">
      <c r="A435" s="20"/>
      <c r="B435"/>
      <c r="C435" s="14" t="s">
        <v>256</v>
      </c>
      <c r="D435"/>
      <c r="E435" s="14">
        <v>3.488</v>
      </c>
    </row>
    <row r="436" spans="1:13" x14ac:dyDescent="0.3">
      <c r="A436" s="20"/>
      <c r="B436"/>
      <c r="C436" s="14" t="s">
        <v>401</v>
      </c>
      <c r="E436" s="14">
        <f xml:space="preserve"> 2.68+0.947+0.948+2.68+0.948+0.947</f>
        <v>9.15</v>
      </c>
    </row>
    <row r="437" spans="1:13" x14ac:dyDescent="0.3">
      <c r="A437" s="20"/>
      <c r="B437"/>
      <c r="C437" s="14" t="s">
        <v>402</v>
      </c>
      <c r="E437" s="14">
        <f xml:space="preserve"> 2.7+3.75+2.22+1.305+1.233+4.35+2.96+1.08+1.02</f>
        <v>20.617999999999999</v>
      </c>
    </row>
    <row r="438" spans="1:13" ht="16.2" x14ac:dyDescent="0.3">
      <c r="A438" s="20"/>
      <c r="B438" s="9">
        <f>B432+1</f>
        <v>76</v>
      </c>
      <c r="C438" s="15" t="s">
        <v>257</v>
      </c>
      <c r="D438" s="10" t="s">
        <v>36</v>
      </c>
      <c r="E438" s="11">
        <f>SUM(E440)</f>
        <v>34.21</v>
      </c>
      <c r="F438" s="1"/>
      <c r="G438" s="12">
        <f>E438*F438</f>
        <v>0</v>
      </c>
      <c r="M438" s="1">
        <f>1050/N42</f>
        <v>1129.0322580645161</v>
      </c>
    </row>
    <row r="439" spans="1:13" x14ac:dyDescent="0.3">
      <c r="A439" s="20"/>
      <c r="B439"/>
      <c r="C439" s="14" t="s">
        <v>50</v>
      </c>
      <c r="E439" s="14"/>
    </row>
    <row r="440" spans="1:13" ht="17.25" customHeight="1" x14ac:dyDescent="0.3">
      <c r="A440" s="20"/>
      <c r="B440"/>
      <c r="C440" s="14" t="s">
        <v>403</v>
      </c>
      <c r="E440" s="14">
        <f xml:space="preserve"> 31.1*1.1</f>
        <v>34.21</v>
      </c>
    </row>
    <row r="441" spans="1:13" ht="16.2" x14ac:dyDescent="0.3">
      <c r="A441" s="20"/>
      <c r="B441" s="9">
        <f>B438+1</f>
        <v>77</v>
      </c>
      <c r="C441" s="15" t="s">
        <v>258</v>
      </c>
      <c r="D441" s="10" t="s">
        <v>36</v>
      </c>
      <c r="E441" s="11">
        <f>SUM(E443)</f>
        <v>3.8370000000000002</v>
      </c>
      <c r="F441" s="1"/>
      <c r="G441" s="12">
        <f>E441*F441</f>
        <v>0</v>
      </c>
      <c r="M441" s="1">
        <f>1150/N42</f>
        <v>1236.5591397849462</v>
      </c>
    </row>
    <row r="442" spans="1:13" x14ac:dyDescent="0.3">
      <c r="A442" s="20"/>
      <c r="B442"/>
      <c r="C442" s="14" t="s">
        <v>50</v>
      </c>
      <c r="E442" s="14"/>
    </row>
    <row r="443" spans="1:13" ht="16.2" x14ac:dyDescent="0.3">
      <c r="A443" s="20"/>
      <c r="B443"/>
      <c r="C443" s="14" t="s">
        <v>259</v>
      </c>
      <c r="E443" s="14">
        <v>3.8370000000000002</v>
      </c>
    </row>
    <row r="444" spans="1:13" x14ac:dyDescent="0.3">
      <c r="A444" s="20"/>
      <c r="B444" s="9">
        <f>B441+1</f>
        <v>78</v>
      </c>
      <c r="C444" s="15" t="s">
        <v>316</v>
      </c>
      <c r="D444" s="10" t="s">
        <v>17</v>
      </c>
      <c r="E444" s="11">
        <f>SUM(E446:E447)</f>
        <v>26.1</v>
      </c>
      <c r="F444" s="1"/>
      <c r="G444" s="12">
        <f>E444*F444</f>
        <v>0</v>
      </c>
      <c r="M444" s="1">
        <f>450/N42</f>
        <v>483.87096774193543</v>
      </c>
    </row>
    <row r="445" spans="1:13" x14ac:dyDescent="0.3">
      <c r="A445" s="20"/>
      <c r="B445"/>
      <c r="C445" s="14" t="s">
        <v>50</v>
      </c>
      <c r="E445" s="14"/>
    </row>
    <row r="446" spans="1:13" x14ac:dyDescent="0.3">
      <c r="A446" s="20"/>
      <c r="B446"/>
      <c r="C446" s="14" t="s">
        <v>317</v>
      </c>
      <c r="E446" s="14">
        <f xml:space="preserve"> 6.55+6.55</f>
        <v>13.1</v>
      </c>
    </row>
    <row r="447" spans="1:13" x14ac:dyDescent="0.3">
      <c r="A447" s="20"/>
      <c r="B447"/>
      <c r="C447" s="14" t="s">
        <v>318</v>
      </c>
      <c r="E447" s="14">
        <f xml:space="preserve"> 6.1+6.9</f>
        <v>13</v>
      </c>
    </row>
    <row r="448" spans="1:13" x14ac:dyDescent="0.3">
      <c r="A448" s="20"/>
      <c r="B448" s="9">
        <f>B444+1</f>
        <v>79</v>
      </c>
      <c r="C448" s="15" t="s">
        <v>351</v>
      </c>
      <c r="D448" s="10" t="s">
        <v>70</v>
      </c>
      <c r="E448" s="11">
        <v>1</v>
      </c>
      <c r="F448" s="1"/>
      <c r="G448" s="12">
        <f>E448*F448</f>
        <v>0</v>
      </c>
      <c r="M448" s="1">
        <f>15000/N42</f>
        <v>16129.032258064515</v>
      </c>
    </row>
    <row r="449" spans="1:13" x14ac:dyDescent="0.3">
      <c r="A449" s="20"/>
      <c r="B449" s="3" t="s">
        <v>79</v>
      </c>
      <c r="C449" s="4" t="s">
        <v>80</v>
      </c>
      <c r="D449" s="5"/>
      <c r="E449" s="6"/>
      <c r="F449" s="7"/>
      <c r="G449" s="8">
        <f>SUM(G450:G520)</f>
        <v>0</v>
      </c>
    </row>
    <row r="450" spans="1:13" ht="16.2" x14ac:dyDescent="0.3">
      <c r="A450" s="20"/>
      <c r="B450" s="9">
        <f>B448+1</f>
        <v>80</v>
      </c>
      <c r="C450" s="15" t="s">
        <v>81</v>
      </c>
      <c r="D450" s="10" t="s">
        <v>36</v>
      </c>
      <c r="E450" s="11">
        <f>SUM(E452:E465)</f>
        <v>448</v>
      </c>
      <c r="F450" s="1"/>
      <c r="G450" s="12">
        <f>E450*F450</f>
        <v>0</v>
      </c>
      <c r="K450" s="38">
        <f>40*1.3</f>
        <v>52</v>
      </c>
      <c r="M450" s="1">
        <f>65/N42</f>
        <v>69.892473118279568</v>
      </c>
    </row>
    <row r="451" spans="1:13" x14ac:dyDescent="0.3">
      <c r="A451" s="20"/>
      <c r="B451" s="9"/>
      <c r="C451" s="14" t="s">
        <v>50</v>
      </c>
      <c r="E451" s="14"/>
      <c r="F451" s="12"/>
      <c r="G451" s="12"/>
      <c r="M451" s="12"/>
    </row>
    <row r="452" spans="1:13" x14ac:dyDescent="0.3">
      <c r="A452" s="20"/>
      <c r="B452" s="9"/>
      <c r="C452" s="14" t="s">
        <v>82</v>
      </c>
      <c r="E452" s="14">
        <v>11.21</v>
      </c>
      <c r="F452" s="12"/>
      <c r="G452" s="12"/>
      <c r="M452" s="12"/>
    </row>
    <row r="453" spans="1:13" x14ac:dyDescent="0.3">
      <c r="A453" s="20"/>
      <c r="B453" s="9"/>
      <c r="C453" s="14" t="s">
        <v>83</v>
      </c>
      <c r="E453" s="14">
        <v>64.650000000000006</v>
      </c>
      <c r="F453" s="12"/>
      <c r="G453" s="12"/>
      <c r="M453" s="12"/>
    </row>
    <row r="454" spans="1:13" x14ac:dyDescent="0.3">
      <c r="A454" s="20"/>
      <c r="B454"/>
      <c r="C454" s="14" t="s">
        <v>84</v>
      </c>
      <c r="D454"/>
      <c r="E454" s="14">
        <v>50.81</v>
      </c>
    </row>
    <row r="455" spans="1:13" x14ac:dyDescent="0.3">
      <c r="A455" s="20"/>
      <c r="B455"/>
      <c r="C455" s="14" t="s">
        <v>85</v>
      </c>
      <c r="D455"/>
      <c r="E455" s="14">
        <v>18.3</v>
      </c>
    </row>
    <row r="456" spans="1:13" x14ac:dyDescent="0.3">
      <c r="A456" s="20"/>
      <c r="B456"/>
      <c r="C456" s="14" t="s">
        <v>86</v>
      </c>
      <c r="D456"/>
      <c r="E456" s="14">
        <v>51.48</v>
      </c>
    </row>
    <row r="457" spans="1:13" x14ac:dyDescent="0.3">
      <c r="A457" s="20"/>
      <c r="B457"/>
      <c r="C457" s="14" t="s">
        <v>87</v>
      </c>
      <c r="D457"/>
      <c r="E457" s="14">
        <v>16.04</v>
      </c>
    </row>
    <row r="458" spans="1:13" x14ac:dyDescent="0.3">
      <c r="A458" s="20"/>
      <c r="B458"/>
      <c r="C458" s="14" t="s">
        <v>88</v>
      </c>
      <c r="D458"/>
      <c r="E458" s="14">
        <v>15.5</v>
      </c>
    </row>
    <row r="459" spans="1:13" x14ac:dyDescent="0.3">
      <c r="A459" s="20"/>
      <c r="B459"/>
      <c r="C459" s="14" t="s">
        <v>89</v>
      </c>
      <c r="D459"/>
      <c r="E459" s="14">
        <v>53.4</v>
      </c>
    </row>
    <row r="460" spans="1:13" x14ac:dyDescent="0.3">
      <c r="A460" s="20"/>
      <c r="B460"/>
      <c r="C460" s="14" t="s">
        <v>90</v>
      </c>
      <c r="D460"/>
      <c r="E460" s="14">
        <v>52.8</v>
      </c>
    </row>
    <row r="461" spans="1:13" x14ac:dyDescent="0.3">
      <c r="A461" s="20"/>
      <c r="B461"/>
      <c r="C461" s="14" t="s">
        <v>91</v>
      </c>
      <c r="D461"/>
      <c r="E461" s="14">
        <v>12.324999999999999</v>
      </c>
    </row>
    <row r="462" spans="1:13" x14ac:dyDescent="0.3">
      <c r="A462" s="20"/>
      <c r="B462"/>
      <c r="C462" s="14" t="s">
        <v>92</v>
      </c>
      <c r="D462"/>
      <c r="E462" s="14">
        <v>3.72</v>
      </c>
    </row>
    <row r="463" spans="1:13" x14ac:dyDescent="0.3">
      <c r="A463" s="20"/>
      <c r="B463"/>
      <c r="C463" s="14" t="s">
        <v>93</v>
      </c>
      <c r="D463"/>
      <c r="E463" s="14">
        <v>25.7</v>
      </c>
    </row>
    <row r="464" spans="1:13" x14ac:dyDescent="0.3">
      <c r="A464" s="20"/>
      <c r="B464"/>
      <c r="C464" s="14" t="s">
        <v>404</v>
      </c>
      <c r="E464" s="14">
        <f>4.425+40.74</f>
        <v>45.164999999999999</v>
      </c>
    </row>
    <row r="465" spans="1:13" x14ac:dyDescent="0.3">
      <c r="A465" s="20"/>
      <c r="B465"/>
      <c r="C465" s="14" t="s">
        <v>405</v>
      </c>
      <c r="E465" s="14">
        <v>26.9</v>
      </c>
    </row>
    <row r="466" spans="1:13" x14ac:dyDescent="0.3">
      <c r="A466" s="20"/>
      <c r="B466" s="9">
        <f>B450+1</f>
        <v>81</v>
      </c>
      <c r="C466" s="15" t="s">
        <v>94</v>
      </c>
      <c r="D466" s="10" t="s">
        <v>17</v>
      </c>
      <c r="E466" s="11">
        <f>SUM(E468:E481)</f>
        <v>367.7</v>
      </c>
      <c r="F466" s="1"/>
      <c r="G466" s="12">
        <f>E466*F466</f>
        <v>0</v>
      </c>
      <c r="M466" s="1">
        <f>25/N42</f>
        <v>26.881720430107524</v>
      </c>
    </row>
    <row r="467" spans="1:13" x14ac:dyDescent="0.3">
      <c r="A467" s="20"/>
      <c r="B467" s="9"/>
      <c r="C467" s="14" t="s">
        <v>50</v>
      </c>
      <c r="E467" s="14"/>
      <c r="F467" s="12"/>
      <c r="G467" s="12"/>
      <c r="M467" s="12"/>
    </row>
    <row r="468" spans="1:13" x14ac:dyDescent="0.3">
      <c r="A468" s="20"/>
      <c r="B468" s="9"/>
      <c r="C468" s="14" t="s">
        <v>82</v>
      </c>
      <c r="E468" s="14">
        <v>13.5</v>
      </c>
      <c r="F468" s="12"/>
      <c r="G468" s="12"/>
      <c r="M468" s="12"/>
    </row>
    <row r="469" spans="1:13" x14ac:dyDescent="0.3">
      <c r="A469" s="20"/>
      <c r="B469" s="9"/>
      <c r="C469" s="14" t="s">
        <v>83</v>
      </c>
      <c r="E469" s="14">
        <v>42.9</v>
      </c>
      <c r="F469" s="12"/>
      <c r="G469" s="12"/>
      <c r="M469" s="12"/>
    </row>
    <row r="470" spans="1:13" x14ac:dyDescent="0.3">
      <c r="A470" s="20"/>
      <c r="B470" s="9"/>
      <c r="C470" s="14" t="s">
        <v>84</v>
      </c>
      <c r="D470"/>
      <c r="E470" s="14">
        <v>30.8</v>
      </c>
      <c r="F470" s="12"/>
      <c r="G470" s="12"/>
      <c r="M470" s="12"/>
    </row>
    <row r="471" spans="1:13" x14ac:dyDescent="0.3">
      <c r="A471" s="20"/>
      <c r="B471" s="9"/>
      <c r="C471" s="14" t="s">
        <v>85</v>
      </c>
      <c r="D471"/>
      <c r="E471" s="14">
        <v>18.11</v>
      </c>
      <c r="F471" s="12"/>
      <c r="G471" s="12"/>
      <c r="M471" s="12"/>
    </row>
    <row r="472" spans="1:13" x14ac:dyDescent="0.3">
      <c r="A472" s="20"/>
      <c r="B472" s="9"/>
      <c r="C472" s="14" t="s">
        <v>86</v>
      </c>
      <c r="D472"/>
      <c r="E472" s="14">
        <v>29.19</v>
      </c>
      <c r="F472" s="12"/>
      <c r="G472" s="12"/>
      <c r="M472" s="12"/>
    </row>
    <row r="473" spans="1:13" x14ac:dyDescent="0.3">
      <c r="A473" s="20"/>
      <c r="B473" s="9"/>
      <c r="C473" s="14" t="s">
        <v>87</v>
      </c>
      <c r="D473"/>
      <c r="E473" s="14">
        <v>13</v>
      </c>
      <c r="F473" s="12"/>
      <c r="G473" s="12"/>
      <c r="M473" s="12"/>
    </row>
    <row r="474" spans="1:13" x14ac:dyDescent="0.3">
      <c r="A474" s="20"/>
      <c r="B474" s="9"/>
      <c r="C474" s="14" t="s">
        <v>88</v>
      </c>
      <c r="D474"/>
      <c r="E474" s="14">
        <v>18.5</v>
      </c>
      <c r="F474" s="12"/>
      <c r="G474" s="12"/>
      <c r="M474" s="12"/>
    </row>
    <row r="475" spans="1:13" x14ac:dyDescent="0.3">
      <c r="A475" s="20"/>
      <c r="B475" s="9"/>
      <c r="C475" s="14" t="s">
        <v>89</v>
      </c>
      <c r="D475"/>
      <c r="E475" s="14">
        <v>29.8</v>
      </c>
      <c r="F475" s="12"/>
      <c r="G475" s="12"/>
      <c r="M475" s="12"/>
    </row>
    <row r="476" spans="1:13" x14ac:dyDescent="0.3">
      <c r="A476" s="20"/>
      <c r="B476" s="9"/>
      <c r="C476" s="14" t="s">
        <v>90</v>
      </c>
      <c r="D476"/>
      <c r="E476" s="14">
        <v>29.6</v>
      </c>
      <c r="F476" s="12"/>
      <c r="G476" s="12"/>
      <c r="M476" s="12"/>
    </row>
    <row r="477" spans="1:13" x14ac:dyDescent="0.3">
      <c r="A477" s="20"/>
      <c r="B477" s="9"/>
      <c r="C477" s="14" t="s">
        <v>91</v>
      </c>
      <c r="D477"/>
      <c r="E477" s="14">
        <v>16.100000000000001</v>
      </c>
      <c r="F477" s="12"/>
      <c r="G477" s="12"/>
      <c r="M477" s="12"/>
    </row>
    <row r="478" spans="1:13" x14ac:dyDescent="0.3">
      <c r="A478" s="20"/>
      <c r="B478" s="9"/>
      <c r="C478" s="14" t="s">
        <v>92</v>
      </c>
      <c r="D478"/>
      <c r="E478" s="14">
        <v>7.9</v>
      </c>
      <c r="F478" s="12"/>
      <c r="G478" s="12"/>
      <c r="M478" s="12"/>
    </row>
    <row r="479" spans="1:13" x14ac:dyDescent="0.3">
      <c r="A479" s="20"/>
      <c r="B479" s="9"/>
      <c r="C479" s="14" t="s">
        <v>93</v>
      </c>
      <c r="D479"/>
      <c r="E479" s="14">
        <v>21.8</v>
      </c>
      <c r="F479" s="12"/>
      <c r="G479" s="12"/>
      <c r="M479" s="12"/>
    </row>
    <row r="480" spans="1:13" x14ac:dyDescent="0.3">
      <c r="A480" s="20"/>
      <c r="B480" s="9"/>
      <c r="C480" s="14" t="s">
        <v>406</v>
      </c>
      <c r="E480" s="14">
        <f>8.9+53.7</f>
        <v>62.6</v>
      </c>
      <c r="F480" s="12"/>
      <c r="G480" s="12"/>
      <c r="M480" s="12"/>
    </row>
    <row r="481" spans="1:13" x14ac:dyDescent="0.3">
      <c r="A481" s="20"/>
      <c r="B481" s="9"/>
      <c r="C481" s="14" t="s">
        <v>407</v>
      </c>
      <c r="E481" s="14">
        <v>33.9</v>
      </c>
      <c r="F481" s="12"/>
      <c r="G481" s="12"/>
      <c r="M481" s="12"/>
    </row>
    <row r="482" spans="1:13" ht="16.2" x14ac:dyDescent="0.3">
      <c r="A482" s="20"/>
      <c r="B482" s="9">
        <f>B466+1</f>
        <v>82</v>
      </c>
      <c r="C482" s="15" t="s">
        <v>95</v>
      </c>
      <c r="D482" s="10" t="s">
        <v>36</v>
      </c>
      <c r="E482" s="11">
        <f>SUM(E484:E498)</f>
        <v>474.73</v>
      </c>
      <c r="F482" s="1"/>
      <c r="G482" s="12">
        <f>E482*F482</f>
        <v>0</v>
      </c>
      <c r="M482" s="1">
        <f>250/N42</f>
        <v>268.81720430107526</v>
      </c>
    </row>
    <row r="483" spans="1:13" x14ac:dyDescent="0.3">
      <c r="A483" s="20"/>
      <c r="B483" s="9"/>
      <c r="C483" s="14" t="s">
        <v>50</v>
      </c>
      <c r="E483" s="14"/>
      <c r="F483" s="12"/>
      <c r="G483" s="12"/>
      <c r="M483" s="12"/>
    </row>
    <row r="484" spans="1:13" x14ac:dyDescent="0.3">
      <c r="A484" s="20"/>
      <c r="B484" s="9"/>
      <c r="C484" s="14" t="s">
        <v>82</v>
      </c>
      <c r="E484" s="14">
        <v>11.21</v>
      </c>
      <c r="F484" s="12"/>
      <c r="G484" s="12"/>
      <c r="M484" s="12"/>
    </row>
    <row r="485" spans="1:13" x14ac:dyDescent="0.3">
      <c r="A485" s="20"/>
      <c r="B485" s="9"/>
      <c r="C485" s="14" t="s">
        <v>83</v>
      </c>
      <c r="E485" s="14">
        <v>64.650000000000006</v>
      </c>
      <c r="F485" s="12"/>
      <c r="G485" s="12"/>
      <c r="M485" s="12"/>
    </row>
    <row r="486" spans="1:13" x14ac:dyDescent="0.3">
      <c r="A486" s="20"/>
      <c r="B486" s="9"/>
      <c r="C486" s="14" t="s">
        <v>84</v>
      </c>
      <c r="D486"/>
      <c r="E486" s="14">
        <v>50.81</v>
      </c>
      <c r="F486" s="12"/>
      <c r="G486" s="12"/>
      <c r="M486" s="12"/>
    </row>
    <row r="487" spans="1:13" x14ac:dyDescent="0.3">
      <c r="A487" s="20"/>
      <c r="B487" s="9"/>
      <c r="C487" s="14" t="s">
        <v>85</v>
      </c>
      <c r="D487"/>
      <c r="E487" s="14">
        <v>18.3</v>
      </c>
      <c r="F487" s="12"/>
      <c r="G487" s="12"/>
      <c r="M487" s="12"/>
    </row>
    <row r="488" spans="1:13" x14ac:dyDescent="0.3">
      <c r="A488" s="20"/>
      <c r="B488" s="9"/>
      <c r="C488" s="14" t="s">
        <v>86</v>
      </c>
      <c r="D488"/>
      <c r="E488" s="14">
        <v>51.48</v>
      </c>
      <c r="F488" s="12"/>
      <c r="G488" s="12"/>
      <c r="M488" s="12"/>
    </row>
    <row r="489" spans="1:13" x14ac:dyDescent="0.3">
      <c r="A489" s="20"/>
      <c r="B489" s="9"/>
      <c r="C489" s="14" t="s">
        <v>96</v>
      </c>
      <c r="D489"/>
      <c r="E489" s="14">
        <v>26.73</v>
      </c>
      <c r="F489" s="12"/>
      <c r="G489" s="12"/>
      <c r="M489" s="12"/>
    </row>
    <row r="490" spans="1:13" x14ac:dyDescent="0.3">
      <c r="A490" s="20"/>
      <c r="B490" s="9"/>
      <c r="C490" s="14" t="s">
        <v>97</v>
      </c>
      <c r="D490"/>
      <c r="E490" s="14">
        <v>16.04</v>
      </c>
      <c r="F490" s="12"/>
      <c r="G490" s="12"/>
      <c r="M490" s="12"/>
    </row>
    <row r="491" spans="1:13" x14ac:dyDescent="0.3">
      <c r="A491" s="20"/>
      <c r="B491" s="9"/>
      <c r="C491" s="14" t="s">
        <v>88</v>
      </c>
      <c r="D491"/>
      <c r="E491" s="14">
        <v>15.5</v>
      </c>
      <c r="F491" s="12"/>
      <c r="G491" s="12"/>
      <c r="M491" s="12"/>
    </row>
    <row r="492" spans="1:13" x14ac:dyDescent="0.3">
      <c r="A492" s="20"/>
      <c r="B492" s="9"/>
      <c r="C492" s="14" t="s">
        <v>89</v>
      </c>
      <c r="D492"/>
      <c r="E492" s="14">
        <v>53.4</v>
      </c>
      <c r="F492" s="12"/>
      <c r="G492" s="12"/>
      <c r="M492" s="12"/>
    </row>
    <row r="493" spans="1:13" x14ac:dyDescent="0.3">
      <c r="A493" s="20"/>
      <c r="B493" s="9"/>
      <c r="C493" s="14" t="s">
        <v>90</v>
      </c>
      <c r="D493"/>
      <c r="E493" s="14">
        <v>52.8</v>
      </c>
      <c r="F493" s="12"/>
      <c r="G493" s="12"/>
      <c r="M493" s="12"/>
    </row>
    <row r="494" spans="1:13" x14ac:dyDescent="0.3">
      <c r="A494" s="20"/>
      <c r="B494" s="9"/>
      <c r="C494" s="14" t="s">
        <v>91</v>
      </c>
      <c r="D494"/>
      <c r="E494" s="14">
        <v>12.324999999999999</v>
      </c>
      <c r="F494" s="12"/>
      <c r="G494" s="12"/>
      <c r="M494" s="12"/>
    </row>
    <row r="495" spans="1:13" x14ac:dyDescent="0.3">
      <c r="A495" s="20"/>
      <c r="B495" s="9"/>
      <c r="C495" s="14" t="s">
        <v>92</v>
      </c>
      <c r="D495"/>
      <c r="E495" s="14">
        <v>3.72</v>
      </c>
      <c r="F495" s="12"/>
      <c r="G495" s="12"/>
      <c r="M495" s="12"/>
    </row>
    <row r="496" spans="1:13" x14ac:dyDescent="0.3">
      <c r="A496" s="20"/>
      <c r="B496" s="9"/>
      <c r="C496" s="14" t="s">
        <v>93</v>
      </c>
      <c r="D496"/>
      <c r="E496" s="14">
        <v>25.7</v>
      </c>
      <c r="F496" s="12"/>
      <c r="G496" s="12"/>
      <c r="M496" s="12"/>
    </row>
    <row r="497" spans="1:13" x14ac:dyDescent="0.3">
      <c r="A497" s="20"/>
      <c r="B497" s="9"/>
      <c r="C497" s="14" t="s">
        <v>408</v>
      </c>
      <c r="E497" s="14">
        <f>4.425+40.74</f>
        <v>45.164999999999999</v>
      </c>
      <c r="F497" s="12"/>
      <c r="G497" s="12"/>
      <c r="M497" s="12"/>
    </row>
    <row r="498" spans="1:13" x14ac:dyDescent="0.3">
      <c r="A498" s="20"/>
      <c r="B498" s="9"/>
      <c r="C498" s="14" t="s">
        <v>405</v>
      </c>
      <c r="E498" s="14">
        <v>26.9</v>
      </c>
      <c r="F498" s="12"/>
      <c r="G498" s="12"/>
      <c r="M498" s="12"/>
    </row>
    <row r="499" spans="1:13" ht="16.2" x14ac:dyDescent="0.3">
      <c r="A499" s="20"/>
      <c r="B499" s="9">
        <f>B482+1</f>
        <v>83</v>
      </c>
      <c r="C499" s="15" t="s">
        <v>98</v>
      </c>
      <c r="D499" s="10" t="s">
        <v>36</v>
      </c>
      <c r="E499" s="11">
        <f>SUM(E501)</f>
        <v>498.46650000000005</v>
      </c>
      <c r="F499" s="1"/>
      <c r="G499" s="12">
        <f>E499*F499</f>
        <v>0</v>
      </c>
      <c r="M499" s="1">
        <f>1150/N42</f>
        <v>1236.5591397849462</v>
      </c>
    </row>
    <row r="500" spans="1:13" x14ac:dyDescent="0.3">
      <c r="A500" s="20"/>
      <c r="B500"/>
      <c r="C500" s="14" t="s">
        <v>50</v>
      </c>
      <c r="E500" s="14"/>
    </row>
    <row r="501" spans="1:13" ht="17.25" customHeight="1" x14ac:dyDescent="0.3">
      <c r="A501" s="20"/>
      <c r="B501"/>
      <c r="C501" s="14" t="s">
        <v>409</v>
      </c>
      <c r="E501" s="14">
        <f xml:space="preserve"> 474.73*1.05</f>
        <v>498.46650000000005</v>
      </c>
    </row>
    <row r="502" spans="1:13" x14ac:dyDescent="0.3">
      <c r="A502" s="20"/>
      <c r="B502" s="9">
        <f>B499+1</f>
        <v>84</v>
      </c>
      <c r="C502" s="15" t="s">
        <v>99</v>
      </c>
      <c r="D502" s="10" t="s">
        <v>17</v>
      </c>
      <c r="E502" s="11">
        <f>SUM(E505:E519)</f>
        <v>387.39</v>
      </c>
      <c r="F502" s="1"/>
      <c r="G502" s="12">
        <f>E502*F502</f>
        <v>0</v>
      </c>
      <c r="M502" s="1">
        <f>250/N42</f>
        <v>268.81720430107526</v>
      </c>
    </row>
    <row r="503" spans="1:13" x14ac:dyDescent="0.3">
      <c r="A503" s="20"/>
      <c r="C503" s="13" t="s">
        <v>100</v>
      </c>
    </row>
    <row r="504" spans="1:13" x14ac:dyDescent="0.3">
      <c r="A504" s="20"/>
      <c r="B504" s="9"/>
      <c r="C504" s="14" t="s">
        <v>50</v>
      </c>
      <c r="E504" s="14"/>
      <c r="F504" s="12"/>
      <c r="G504" s="12"/>
      <c r="M504" s="12"/>
    </row>
    <row r="505" spans="1:13" x14ac:dyDescent="0.3">
      <c r="A505" s="20"/>
      <c r="B505" s="9"/>
      <c r="C505" s="14" t="s">
        <v>101</v>
      </c>
      <c r="E505" s="14">
        <v>13.5</v>
      </c>
      <c r="F505" s="12"/>
      <c r="G505" s="12"/>
      <c r="M505" s="12"/>
    </row>
    <row r="506" spans="1:13" x14ac:dyDescent="0.3">
      <c r="A506" s="20"/>
      <c r="B506" s="9"/>
      <c r="C506" s="14" t="s">
        <v>102</v>
      </c>
      <c r="E506" s="14">
        <v>42.9</v>
      </c>
      <c r="F506" s="12"/>
      <c r="G506" s="12"/>
      <c r="M506" s="12"/>
    </row>
    <row r="507" spans="1:13" x14ac:dyDescent="0.3">
      <c r="A507" s="20"/>
      <c r="B507" s="9"/>
      <c r="C507" s="14" t="s">
        <v>103</v>
      </c>
      <c r="D507"/>
      <c r="E507" s="14">
        <v>30.8</v>
      </c>
      <c r="F507" s="12"/>
      <c r="G507" s="12"/>
      <c r="M507" s="12"/>
    </row>
    <row r="508" spans="1:13" x14ac:dyDescent="0.3">
      <c r="A508" s="20"/>
      <c r="B508" s="9"/>
      <c r="C508" s="14" t="s">
        <v>104</v>
      </c>
      <c r="D508"/>
      <c r="E508" s="14">
        <v>18.11</v>
      </c>
      <c r="F508" s="12"/>
      <c r="G508" s="12"/>
      <c r="M508" s="12"/>
    </row>
    <row r="509" spans="1:13" x14ac:dyDescent="0.3">
      <c r="A509" s="20"/>
      <c r="B509" s="9"/>
      <c r="C509" s="14" t="s">
        <v>105</v>
      </c>
      <c r="D509"/>
      <c r="E509" s="14">
        <v>29.19</v>
      </c>
      <c r="F509" s="12"/>
      <c r="G509" s="12"/>
      <c r="M509" s="12"/>
    </row>
    <row r="510" spans="1:13" x14ac:dyDescent="0.3">
      <c r="A510" s="20"/>
      <c r="B510" s="9"/>
      <c r="C510" s="14" t="s">
        <v>106</v>
      </c>
      <c r="D510"/>
      <c r="E510" s="14">
        <v>24.6</v>
      </c>
      <c r="F510" s="12"/>
      <c r="G510" s="12"/>
      <c r="M510" s="12"/>
    </row>
    <row r="511" spans="1:13" x14ac:dyDescent="0.3">
      <c r="A511" s="20"/>
      <c r="B511" s="9"/>
      <c r="C511" s="14" t="s">
        <v>107</v>
      </c>
      <c r="D511"/>
      <c r="E511" s="14">
        <v>16.2</v>
      </c>
      <c r="F511" s="12"/>
      <c r="G511" s="12"/>
      <c r="M511" s="12"/>
    </row>
    <row r="512" spans="1:13" x14ac:dyDescent="0.3">
      <c r="A512" s="20"/>
      <c r="B512" s="9"/>
      <c r="C512" s="14" t="s">
        <v>108</v>
      </c>
      <c r="D512"/>
      <c r="E512" s="14">
        <v>18.5</v>
      </c>
      <c r="F512" s="12"/>
      <c r="G512" s="12"/>
      <c r="M512" s="12"/>
    </row>
    <row r="513" spans="1:13" x14ac:dyDescent="0.3">
      <c r="A513" s="20"/>
      <c r="B513" s="9"/>
      <c r="C513" s="14" t="s">
        <v>109</v>
      </c>
      <c r="D513"/>
      <c r="E513" s="14">
        <v>29.8</v>
      </c>
      <c r="F513" s="12"/>
      <c r="G513" s="12"/>
      <c r="M513" s="12"/>
    </row>
    <row r="514" spans="1:13" x14ac:dyDescent="0.3">
      <c r="A514" s="20"/>
      <c r="B514" s="9"/>
      <c r="C514" s="14" t="s">
        <v>110</v>
      </c>
      <c r="D514"/>
      <c r="E514" s="14">
        <v>29.6</v>
      </c>
      <c r="F514" s="12"/>
      <c r="G514" s="12"/>
      <c r="M514" s="12"/>
    </row>
    <row r="515" spans="1:13" x14ac:dyDescent="0.3">
      <c r="A515" s="20"/>
      <c r="B515" s="9"/>
      <c r="C515" s="14" t="s">
        <v>111</v>
      </c>
      <c r="D515"/>
      <c r="E515" s="14">
        <v>16.100000000000001</v>
      </c>
      <c r="F515" s="12"/>
      <c r="G515" s="12"/>
      <c r="M515" s="12"/>
    </row>
    <row r="516" spans="1:13" x14ac:dyDescent="0.3">
      <c r="A516" s="20"/>
      <c r="B516" s="9"/>
      <c r="C516" s="14" t="s">
        <v>112</v>
      </c>
      <c r="D516"/>
      <c r="E516" s="14">
        <v>7.9</v>
      </c>
      <c r="F516" s="12"/>
      <c r="G516" s="12"/>
      <c r="M516" s="12"/>
    </row>
    <row r="517" spans="1:13" x14ac:dyDescent="0.3">
      <c r="A517" s="20"/>
      <c r="B517" s="9"/>
      <c r="C517" s="14" t="s">
        <v>113</v>
      </c>
      <c r="D517"/>
      <c r="E517" s="14">
        <v>21.8</v>
      </c>
      <c r="F517" s="12"/>
      <c r="G517" s="12"/>
      <c r="M517" s="12"/>
    </row>
    <row r="518" spans="1:13" x14ac:dyDescent="0.3">
      <c r="A518" s="20"/>
      <c r="B518" s="9"/>
      <c r="C518" s="14" t="s">
        <v>410</v>
      </c>
      <c r="E518" s="14">
        <f>8.9+45.59</f>
        <v>54.49</v>
      </c>
      <c r="F518" s="12"/>
      <c r="G518" s="12"/>
      <c r="M518" s="12"/>
    </row>
    <row r="519" spans="1:13" x14ac:dyDescent="0.3">
      <c r="A519" s="20"/>
      <c r="B519" s="9"/>
      <c r="C519" s="14" t="s">
        <v>407</v>
      </c>
      <c r="E519" s="14">
        <v>33.9</v>
      </c>
      <c r="F519" s="12"/>
      <c r="G519" s="12"/>
      <c r="M519" s="12"/>
    </row>
    <row r="520" spans="1:13" x14ac:dyDescent="0.3">
      <c r="A520" s="20"/>
      <c r="B520" s="9">
        <f>B502+1</f>
        <v>85</v>
      </c>
      <c r="C520" s="15" t="s">
        <v>352</v>
      </c>
      <c r="D520" s="10" t="s">
        <v>70</v>
      </c>
      <c r="E520" s="11">
        <v>1</v>
      </c>
      <c r="F520" s="1"/>
      <c r="G520" s="12">
        <f>E520*F520</f>
        <v>0</v>
      </c>
      <c r="M520" s="1">
        <f>10000/N42</f>
        <v>10752.68817204301</v>
      </c>
    </row>
    <row r="521" spans="1:13" x14ac:dyDescent="0.3">
      <c r="A521" s="20"/>
      <c r="B521" s="3" t="s">
        <v>71</v>
      </c>
      <c r="C521" s="4" t="s">
        <v>72</v>
      </c>
      <c r="D521" s="5"/>
      <c r="E521" s="6"/>
      <c r="F521" s="7"/>
      <c r="G521" s="8">
        <f>SUM(G522:G537)</f>
        <v>0</v>
      </c>
    </row>
    <row r="522" spans="1:13" ht="16.2" x14ac:dyDescent="0.3">
      <c r="A522" s="20"/>
      <c r="B522" s="9">
        <f>B520+1</f>
        <v>86</v>
      </c>
      <c r="C522" s="15" t="s">
        <v>73</v>
      </c>
      <c r="D522" s="10" t="s">
        <v>36</v>
      </c>
      <c r="E522" s="11">
        <f>SUM(E523:E527)</f>
        <v>94.484999999999999</v>
      </c>
      <c r="F522" s="1"/>
      <c r="G522" s="12">
        <f>E522*F522</f>
        <v>0</v>
      </c>
      <c r="K522" s="38">
        <f>260*1.3</f>
        <v>338</v>
      </c>
      <c r="M522" s="1">
        <f>340/N42</f>
        <v>365.59139784946234</v>
      </c>
    </row>
    <row r="523" spans="1:13" x14ac:dyDescent="0.3">
      <c r="A523" s="20"/>
      <c r="B523" s="9"/>
      <c r="C523" s="14" t="s">
        <v>50</v>
      </c>
      <c r="E523" s="14"/>
      <c r="F523" s="12"/>
      <c r="G523" s="12"/>
      <c r="M523" s="12"/>
    </row>
    <row r="524" spans="1:13" x14ac:dyDescent="0.3">
      <c r="A524" s="20"/>
      <c r="B524" s="9"/>
      <c r="C524" s="14" t="s">
        <v>74</v>
      </c>
      <c r="E524" s="14">
        <f>(0.85+2.25+0.7)*1.5</f>
        <v>5.6999999999999993</v>
      </c>
      <c r="F524" s="12"/>
      <c r="G524" s="12"/>
      <c r="M524" s="12"/>
    </row>
    <row r="525" spans="1:13" x14ac:dyDescent="0.3">
      <c r="A525" s="20"/>
      <c r="B525" s="9"/>
      <c r="C525" s="14" t="s">
        <v>75</v>
      </c>
      <c r="E525" s="14">
        <f>(0.7+0.85+1.45)*1.5</f>
        <v>4.5</v>
      </c>
      <c r="F525" s="12"/>
      <c r="G525" s="12"/>
      <c r="M525" s="12"/>
    </row>
    <row r="526" spans="1:13" x14ac:dyDescent="0.3">
      <c r="A526" s="20"/>
      <c r="B526" s="9"/>
      <c r="C526" s="14" t="s">
        <v>411</v>
      </c>
      <c r="E526" s="14">
        <f>1.47+3.9+4.92+4.905+4.92+4.905</f>
        <v>25.020000000000003</v>
      </c>
      <c r="F526" s="12"/>
      <c r="G526" s="12"/>
      <c r="M526" s="12"/>
    </row>
    <row r="527" spans="1:13" x14ac:dyDescent="0.3">
      <c r="A527" s="20"/>
      <c r="B527" s="9"/>
      <c r="C527" s="14" t="s">
        <v>412</v>
      </c>
      <c r="E527" s="14">
        <f>12.39+7.35+8.4+8.19+8.55+7.35+7.035</f>
        <v>59.265000000000001</v>
      </c>
      <c r="F527" s="12"/>
      <c r="G527" s="12"/>
      <c r="M527" s="12"/>
    </row>
    <row r="528" spans="1:13" ht="16.2" x14ac:dyDescent="0.3">
      <c r="A528" s="20"/>
      <c r="B528" s="9">
        <f>B522+1</f>
        <v>87</v>
      </c>
      <c r="C528" s="15" t="s">
        <v>449</v>
      </c>
      <c r="D528" s="10" t="s">
        <v>36</v>
      </c>
      <c r="E528" s="11">
        <f>SUM(E529:E533)</f>
        <v>114.345</v>
      </c>
      <c r="F528" s="1"/>
      <c r="G528" s="12">
        <f>E528*F528</f>
        <v>0</v>
      </c>
      <c r="M528" s="1">
        <f>850/N42</f>
        <v>913.97849462365582</v>
      </c>
    </row>
    <row r="529" spans="1:13" x14ac:dyDescent="0.3">
      <c r="A529" s="20"/>
      <c r="B529" s="9"/>
      <c r="C529" s="14" t="s">
        <v>50</v>
      </c>
      <c r="E529" s="14"/>
      <c r="F529" s="12"/>
      <c r="G529" s="12"/>
      <c r="M529" s="12"/>
    </row>
    <row r="530" spans="1:13" ht="16.2" x14ac:dyDescent="0.3">
      <c r="A530" s="20"/>
      <c r="B530" s="9"/>
      <c r="C530" s="14" t="s">
        <v>76</v>
      </c>
      <c r="E530" s="14">
        <v>8.2739999999999991</v>
      </c>
      <c r="F530" s="12"/>
      <c r="G530" s="12"/>
      <c r="M530" s="12"/>
    </row>
    <row r="531" spans="1:13" ht="16.2" x14ac:dyDescent="0.3">
      <c r="A531" s="20"/>
      <c r="B531" s="9"/>
      <c r="C531" s="14" t="s">
        <v>77</v>
      </c>
      <c r="E531" s="14">
        <v>13.986000000000001</v>
      </c>
      <c r="F531" s="12"/>
      <c r="G531" s="12"/>
      <c r="M531" s="12"/>
    </row>
    <row r="532" spans="1:13" x14ac:dyDescent="0.3">
      <c r="A532" s="20"/>
      <c r="B532" s="9"/>
      <c r="C532" s="14" t="s">
        <v>413</v>
      </c>
      <c r="E532" s="14">
        <f xml:space="preserve"> 1.47+4.05+4*6.825</f>
        <v>32.82</v>
      </c>
      <c r="F532" s="12"/>
      <c r="G532" s="12"/>
      <c r="M532" s="12"/>
    </row>
    <row r="533" spans="1:13" x14ac:dyDescent="0.3">
      <c r="A533" s="20"/>
      <c r="B533" s="9"/>
      <c r="C533" s="14" t="s">
        <v>412</v>
      </c>
      <c r="E533" s="14">
        <f>12.39+7.35+8.4+8.19+8.55+7.35+7.035</f>
        <v>59.265000000000001</v>
      </c>
      <c r="F533" s="12"/>
      <c r="G533" s="12"/>
      <c r="M533" s="12"/>
    </row>
    <row r="534" spans="1:13" ht="16.2" x14ac:dyDescent="0.3">
      <c r="A534" s="20"/>
      <c r="B534" s="9">
        <f>B528+1</f>
        <v>88</v>
      </c>
      <c r="C534" s="15" t="s">
        <v>78</v>
      </c>
      <c r="D534" s="10" t="s">
        <v>36</v>
      </c>
      <c r="E534" s="11">
        <f>SUM(E535:E536)</f>
        <v>120.0675</v>
      </c>
      <c r="F534" s="1"/>
      <c r="G534" s="12">
        <f>E534*F534</f>
        <v>0</v>
      </c>
      <c r="M534" s="1">
        <f>950/N42</f>
        <v>1021.505376344086</v>
      </c>
    </row>
    <row r="535" spans="1:13" x14ac:dyDescent="0.3">
      <c r="A535" s="20"/>
      <c r="B535" s="9"/>
      <c r="C535" s="14" t="s">
        <v>50</v>
      </c>
      <c r="E535" s="14"/>
      <c r="F535" s="12"/>
      <c r="G535" s="12"/>
      <c r="M535" s="12"/>
    </row>
    <row r="536" spans="1:13" ht="17.25" customHeight="1" x14ac:dyDescent="0.3">
      <c r="A536" s="20"/>
      <c r="B536" s="9"/>
      <c r="C536" s="14" t="s">
        <v>414</v>
      </c>
      <c r="E536" s="14">
        <f xml:space="preserve"> 114.35*1.05</f>
        <v>120.0675</v>
      </c>
      <c r="F536" s="12"/>
      <c r="G536" s="12"/>
      <c r="M536" s="12"/>
    </row>
    <row r="537" spans="1:13" x14ac:dyDescent="0.3">
      <c r="A537" s="20"/>
      <c r="B537" s="9">
        <f>B534+1</f>
        <v>89</v>
      </c>
      <c r="C537" s="15" t="s">
        <v>353</v>
      </c>
      <c r="D537" s="10" t="s">
        <v>70</v>
      </c>
      <c r="E537" s="11">
        <v>1</v>
      </c>
      <c r="F537" s="1"/>
      <c r="G537" s="12">
        <f>E537*F537</f>
        <v>0</v>
      </c>
      <c r="M537" s="1">
        <f>20000/N42</f>
        <v>21505.37634408602</v>
      </c>
    </row>
    <row r="538" spans="1:13" x14ac:dyDescent="0.3">
      <c r="A538" s="20"/>
      <c r="B538" s="3" t="s">
        <v>114</v>
      </c>
      <c r="C538" s="4" t="s">
        <v>115</v>
      </c>
      <c r="D538" s="5"/>
      <c r="E538" s="6"/>
      <c r="F538" s="7"/>
      <c r="G538" s="8">
        <f>SUM(G539:G586)</f>
        <v>0</v>
      </c>
    </row>
    <row r="539" spans="1:13" ht="16.2" x14ac:dyDescent="0.3">
      <c r="A539" s="20"/>
      <c r="B539" s="9">
        <f>B537+1</f>
        <v>90</v>
      </c>
      <c r="C539" s="15" t="s">
        <v>116</v>
      </c>
      <c r="D539" s="10" t="s">
        <v>36</v>
      </c>
      <c r="E539" s="11">
        <f>SUM(E541:E559)</f>
        <v>1848.0920000000001</v>
      </c>
      <c r="F539" s="1"/>
      <c r="G539" s="12">
        <f>E539*F539</f>
        <v>0</v>
      </c>
      <c r="K539" s="38">
        <f>33*1.3</f>
        <v>42.9</v>
      </c>
      <c r="M539" s="1">
        <f>43/N42</f>
        <v>46.236559139784944</v>
      </c>
    </row>
    <row r="540" spans="1:13" x14ac:dyDescent="0.3">
      <c r="A540" s="20"/>
      <c r="B540" s="9"/>
      <c r="C540" s="14" t="s">
        <v>117</v>
      </c>
      <c r="E540" s="14"/>
      <c r="F540" s="12"/>
      <c r="G540" s="12"/>
      <c r="M540" s="12"/>
    </row>
    <row r="541" spans="1:13" x14ac:dyDescent="0.3">
      <c r="A541" s="20"/>
      <c r="B541" s="9"/>
      <c r="C541" s="14" t="s">
        <v>118</v>
      </c>
      <c r="E541" s="14">
        <f>11.21+42.05</f>
        <v>53.26</v>
      </c>
      <c r="F541" s="12"/>
      <c r="G541" s="12"/>
      <c r="M541" s="12"/>
    </row>
    <row r="542" spans="1:13" x14ac:dyDescent="0.3">
      <c r="A542" s="20"/>
      <c r="B542" s="9"/>
      <c r="C542" s="14" t="s">
        <v>119</v>
      </c>
      <c r="E542" s="14">
        <f>64.65+136.503</f>
        <v>201.15299999999999</v>
      </c>
      <c r="F542" s="12"/>
      <c r="G542" s="12"/>
      <c r="M542" s="12"/>
    </row>
    <row r="543" spans="1:13" x14ac:dyDescent="0.3">
      <c r="A543" s="20"/>
      <c r="B543"/>
      <c r="C543" s="14" t="s">
        <v>120</v>
      </c>
      <c r="D543"/>
      <c r="E543" s="14">
        <f>50.81+93.506</f>
        <v>144.316</v>
      </c>
    </row>
    <row r="544" spans="1:13" x14ac:dyDescent="0.3">
      <c r="A544" s="20"/>
      <c r="B544"/>
      <c r="C544" s="14" t="s">
        <v>121</v>
      </c>
      <c r="D544"/>
      <c r="E544" s="14">
        <f xml:space="preserve"> 51.48+93.131</f>
        <v>144.61099999999999</v>
      </c>
    </row>
    <row r="545" spans="1:13" x14ac:dyDescent="0.3">
      <c r="A545" s="20"/>
      <c r="B545"/>
      <c r="C545" s="14" t="s">
        <v>122</v>
      </c>
      <c r="D545"/>
      <c r="E545" s="14">
        <v>108.28400000000001</v>
      </c>
    </row>
    <row r="546" spans="1:13" x14ac:dyDescent="0.3">
      <c r="A546" s="20"/>
      <c r="B546"/>
      <c r="C546" s="14" t="s">
        <v>123</v>
      </c>
      <c r="D546"/>
      <c r="E546" s="14">
        <v>8.4570000000000007</v>
      </c>
    </row>
    <row r="547" spans="1:13" x14ac:dyDescent="0.3">
      <c r="A547" s="20"/>
      <c r="B547"/>
      <c r="C547" s="14" t="s">
        <v>124</v>
      </c>
      <c r="D547"/>
      <c r="E547" s="14">
        <f xml:space="preserve"> 16.04+39.17</f>
        <v>55.21</v>
      </c>
    </row>
    <row r="548" spans="1:13" x14ac:dyDescent="0.3">
      <c r="A548" s="20"/>
      <c r="B548"/>
      <c r="C548" s="14" t="s">
        <v>125</v>
      </c>
      <c r="D548"/>
      <c r="E548" s="14">
        <f>15.5+55.025</f>
        <v>70.525000000000006</v>
      </c>
    </row>
    <row r="549" spans="1:13" x14ac:dyDescent="0.3">
      <c r="A549" s="20"/>
      <c r="B549"/>
      <c r="C549" s="14" t="s">
        <v>126</v>
      </c>
      <c r="D549"/>
      <c r="E549" s="14">
        <f xml:space="preserve"> 53.4+91.606</f>
        <v>145.006</v>
      </c>
    </row>
    <row r="550" spans="1:13" x14ac:dyDescent="0.3">
      <c r="A550" s="20"/>
      <c r="B550"/>
      <c r="C550" s="14" t="s">
        <v>127</v>
      </c>
      <c r="D550"/>
      <c r="E550" s="14">
        <f xml:space="preserve"> 52.8+82.132</f>
        <v>134.93200000000002</v>
      </c>
    </row>
    <row r="551" spans="1:13" x14ac:dyDescent="0.3">
      <c r="A551" s="20"/>
      <c r="B551"/>
      <c r="C551" s="14" t="s">
        <v>128</v>
      </c>
      <c r="D551"/>
      <c r="E551" s="14">
        <f xml:space="preserve"> 12.325+44.779</f>
        <v>57.103999999999999</v>
      </c>
    </row>
    <row r="552" spans="1:13" x14ac:dyDescent="0.3">
      <c r="A552" s="20"/>
      <c r="B552"/>
      <c r="C552" s="14" t="s">
        <v>129</v>
      </c>
      <c r="D552"/>
      <c r="E552" s="14">
        <f xml:space="preserve"> 3.72+21.625</f>
        <v>25.344999999999999</v>
      </c>
    </row>
    <row r="553" spans="1:13" x14ac:dyDescent="0.3">
      <c r="A553" s="20"/>
      <c r="B553"/>
      <c r="C553" s="14" t="s">
        <v>130</v>
      </c>
      <c r="D553"/>
      <c r="E553" s="14">
        <f xml:space="preserve"> 25.7+60.53</f>
        <v>86.23</v>
      </c>
    </row>
    <row r="554" spans="1:13" x14ac:dyDescent="0.3">
      <c r="A554" s="20"/>
      <c r="B554"/>
      <c r="C554" s="14" t="s">
        <v>415</v>
      </c>
      <c r="E554" s="14">
        <f xml:space="preserve"> 4.425+46.07+2.68+0.947+0.948+2.68+0.948+0.947+11.65</f>
        <v>71.295000000000002</v>
      </c>
    </row>
    <row r="555" spans="1:13" x14ac:dyDescent="0.3">
      <c r="A555" s="20"/>
      <c r="B555"/>
      <c r="C555" s="14" t="s">
        <v>416</v>
      </c>
      <c r="E555" s="14">
        <f xml:space="preserve"> 23.353+154.834+17.336+11.744+11.744+17.546+11.744+11.744+64.67</f>
        <v>324.71500000000003</v>
      </c>
    </row>
    <row r="556" spans="1:13" x14ac:dyDescent="0.3">
      <c r="A556" s="20"/>
      <c r="B556"/>
      <c r="C556" s="14" t="s">
        <v>417</v>
      </c>
      <c r="D556"/>
      <c r="E556" s="14">
        <f>-(1.47+3.9+4.92+4.905+4.92+4.905)</f>
        <v>-25.020000000000003</v>
      </c>
    </row>
    <row r="557" spans="1:13" x14ac:dyDescent="0.3">
      <c r="A557" s="20"/>
      <c r="B557"/>
      <c r="C557" s="14" t="s">
        <v>381</v>
      </c>
      <c r="E557" s="14">
        <f xml:space="preserve"> 3.582+26.9+2.7+3.75+2.22+1.305+1.233+4.35+2.96+1.08+1.02</f>
        <v>51.1</v>
      </c>
    </row>
    <row r="558" spans="1:13" x14ac:dyDescent="0.3">
      <c r="A558" s="20"/>
      <c r="B558"/>
      <c r="C558" s="14" t="s">
        <v>382</v>
      </c>
      <c r="E558" s="14">
        <f xml:space="preserve"> 14.386+97.703+18+22.135+13.585+12.395+12.1+23.04+15.945+10.92+10.625</f>
        <v>250.83399999999997</v>
      </c>
    </row>
    <row r="559" spans="1:13" x14ac:dyDescent="0.3">
      <c r="A559" s="20"/>
      <c r="B559"/>
      <c r="C559" s="14" t="s">
        <v>418</v>
      </c>
      <c r="D559"/>
      <c r="E559" s="14">
        <f>-(12.39+7.35+8.4+8.19+8.55+7.35+7.035)</f>
        <v>-59.265000000000001</v>
      </c>
    </row>
    <row r="560" spans="1:13" ht="16.2" x14ac:dyDescent="0.3">
      <c r="A560" s="20"/>
      <c r="B560" s="9">
        <f>B539+1</f>
        <v>91</v>
      </c>
      <c r="C560" s="15" t="s">
        <v>131</v>
      </c>
      <c r="D560" s="10" t="s">
        <v>36</v>
      </c>
      <c r="E560" s="11">
        <f>SUM(E562:E581)</f>
        <v>1812.3700000000001</v>
      </c>
      <c r="F560" s="1"/>
      <c r="G560" s="12">
        <f>E560*F560</f>
        <v>0</v>
      </c>
      <c r="K560" s="38">
        <f>60*1.3</f>
        <v>78</v>
      </c>
      <c r="M560" s="1">
        <f>78/N42</f>
        <v>83.870967741935473</v>
      </c>
    </row>
    <row r="561" spans="1:13" x14ac:dyDescent="0.3">
      <c r="A561" s="20"/>
      <c r="B561" s="9"/>
      <c r="C561" s="14" t="s">
        <v>117</v>
      </c>
      <c r="E561" s="14"/>
      <c r="F561" s="12"/>
      <c r="G561" s="12"/>
      <c r="M561" s="12"/>
    </row>
    <row r="562" spans="1:13" x14ac:dyDescent="0.3">
      <c r="A562" s="20"/>
      <c r="B562" s="9"/>
      <c r="C562" s="14" t="s">
        <v>118</v>
      </c>
      <c r="E562" s="14">
        <f>11.21+42.05</f>
        <v>53.26</v>
      </c>
      <c r="F562" s="12"/>
      <c r="G562" s="12"/>
      <c r="M562" s="12"/>
    </row>
    <row r="563" spans="1:13" x14ac:dyDescent="0.3">
      <c r="A563" s="20"/>
      <c r="B563" s="9"/>
      <c r="C563" s="14" t="s">
        <v>119</v>
      </c>
      <c r="E563" s="14">
        <f>64.65+136.503</f>
        <v>201.15299999999999</v>
      </c>
      <c r="F563" s="12"/>
      <c r="G563" s="12"/>
      <c r="M563" s="12"/>
    </row>
    <row r="564" spans="1:13" x14ac:dyDescent="0.3">
      <c r="A564" s="20"/>
      <c r="B564"/>
      <c r="C564" s="14" t="s">
        <v>120</v>
      </c>
      <c r="D564"/>
      <c r="E564" s="14">
        <f>50.81+93.506</f>
        <v>144.316</v>
      </c>
    </row>
    <row r="565" spans="1:13" x14ac:dyDescent="0.3">
      <c r="A565" s="20"/>
      <c r="B565"/>
      <c r="C565" s="14" t="s">
        <v>121</v>
      </c>
      <c r="D565"/>
      <c r="E565" s="14">
        <f xml:space="preserve"> 51.48+93.131</f>
        <v>144.61099999999999</v>
      </c>
    </row>
    <row r="566" spans="1:13" x14ac:dyDescent="0.3">
      <c r="A566" s="20"/>
      <c r="B566"/>
      <c r="C566" s="14" t="s">
        <v>132</v>
      </c>
      <c r="D566"/>
      <c r="E566" s="14">
        <v>100.922</v>
      </c>
    </row>
    <row r="567" spans="1:13" x14ac:dyDescent="0.3">
      <c r="A567" s="20"/>
      <c r="B567"/>
      <c r="C567" s="14" t="s">
        <v>133</v>
      </c>
      <c r="D567"/>
      <c r="E567" s="14">
        <v>7.117</v>
      </c>
    </row>
    <row r="568" spans="1:13" x14ac:dyDescent="0.3">
      <c r="A568" s="20"/>
      <c r="B568"/>
      <c r="C568" s="14" t="s">
        <v>134</v>
      </c>
      <c r="D568"/>
      <c r="E568" s="14">
        <v>12.711</v>
      </c>
    </row>
    <row r="569" spans="1:13" x14ac:dyDescent="0.3">
      <c r="A569" s="20"/>
      <c r="B569"/>
      <c r="C569" s="14" t="s">
        <v>135</v>
      </c>
      <c r="D569"/>
      <c r="E569" s="14">
        <v>67.724000000000004</v>
      </c>
    </row>
    <row r="570" spans="1:13" x14ac:dyDescent="0.3">
      <c r="A570" s="20"/>
      <c r="B570"/>
      <c r="C570" s="14" t="s">
        <v>125</v>
      </c>
      <c r="D570"/>
      <c r="E570" s="14">
        <f>15.5+55.025</f>
        <v>70.525000000000006</v>
      </c>
    </row>
    <row r="571" spans="1:13" x14ac:dyDescent="0.3">
      <c r="A571" s="20"/>
      <c r="B571"/>
      <c r="C571" s="14" t="s">
        <v>126</v>
      </c>
      <c r="D571"/>
      <c r="E571" s="14">
        <f xml:space="preserve"> 53.4+91.606</f>
        <v>145.006</v>
      </c>
    </row>
    <row r="572" spans="1:13" x14ac:dyDescent="0.3">
      <c r="A572" s="20"/>
      <c r="B572"/>
      <c r="C572" s="14" t="s">
        <v>127</v>
      </c>
      <c r="D572"/>
      <c r="E572" s="14">
        <f xml:space="preserve"> 52.8+82.132</f>
        <v>134.93200000000002</v>
      </c>
    </row>
    <row r="573" spans="1:13" x14ac:dyDescent="0.3">
      <c r="A573" s="20"/>
      <c r="B573"/>
      <c r="C573" s="14" t="s">
        <v>128</v>
      </c>
      <c r="D573"/>
      <c r="E573" s="14">
        <f xml:space="preserve"> 12.325+44.779</f>
        <v>57.103999999999999</v>
      </c>
    </row>
    <row r="574" spans="1:13" x14ac:dyDescent="0.3">
      <c r="A574" s="20"/>
      <c r="B574"/>
      <c r="C574" s="14" t="s">
        <v>129</v>
      </c>
      <c r="D574"/>
      <c r="E574" s="14">
        <f xml:space="preserve"> 3.72+21.625</f>
        <v>25.344999999999999</v>
      </c>
    </row>
    <row r="575" spans="1:13" x14ac:dyDescent="0.3">
      <c r="A575" s="20"/>
      <c r="B575"/>
      <c r="C575" s="14" t="s">
        <v>130</v>
      </c>
      <c r="D575"/>
      <c r="E575" s="14">
        <f xml:space="preserve"> 25.7+60.53</f>
        <v>86.23</v>
      </c>
    </row>
    <row r="576" spans="1:13" x14ac:dyDescent="0.3">
      <c r="A576" s="20"/>
      <c r="B576"/>
      <c r="C576" s="14" t="s">
        <v>379</v>
      </c>
      <c r="E576" s="14">
        <f xml:space="preserve"> 4.425+40.74+2.68+0.947+0.948+2.68+0.948+0.947+11.65</f>
        <v>65.965000000000003</v>
      </c>
    </row>
    <row r="577" spans="1:13" x14ac:dyDescent="0.3">
      <c r="A577" s="20"/>
      <c r="B577"/>
      <c r="C577" s="14" t="s">
        <v>380</v>
      </c>
      <c r="E577" s="14">
        <f xml:space="preserve"> 23.353+132.719+17.336+11.744+11.744+17.546+11.744+11.744+64.67</f>
        <v>302.60000000000002</v>
      </c>
    </row>
    <row r="578" spans="1:13" x14ac:dyDescent="0.3">
      <c r="A578" s="20"/>
      <c r="B578"/>
      <c r="C578" s="14" t="s">
        <v>419</v>
      </c>
      <c r="D578"/>
      <c r="E578" s="14">
        <f>-(1.47+4.05+6.825+6.825+6.825+6.825+17)</f>
        <v>-49.82</v>
      </c>
    </row>
    <row r="579" spans="1:13" x14ac:dyDescent="0.3">
      <c r="A579" s="20"/>
      <c r="B579"/>
      <c r="C579" s="14" t="s">
        <v>381</v>
      </c>
      <c r="E579" s="14">
        <f xml:space="preserve"> 3.582+26.9+2.7+3.75+2.22+1.305+1.233+4.35+2.96+1.08+1.02</f>
        <v>51.1</v>
      </c>
    </row>
    <row r="580" spans="1:13" x14ac:dyDescent="0.3">
      <c r="A580" s="20"/>
      <c r="B580"/>
      <c r="C580" s="14" t="s">
        <v>382</v>
      </c>
      <c r="E580" s="14">
        <f xml:space="preserve"> 14.386+97.703+18+22.135+13.585+12.395+12.1+23.04+15.945+10.92+10.625</f>
        <v>250.83399999999997</v>
      </c>
    </row>
    <row r="581" spans="1:13" x14ac:dyDescent="0.3">
      <c r="A581" s="20"/>
      <c r="B581"/>
      <c r="C581" s="14" t="s">
        <v>418</v>
      </c>
      <c r="D581"/>
      <c r="E581" s="14">
        <f>-(12.39+7.35+8.4+8.19+8.55+7.35+7.035)</f>
        <v>-59.265000000000001</v>
      </c>
    </row>
    <row r="582" spans="1:13" ht="16.2" x14ac:dyDescent="0.3">
      <c r="A582" s="20"/>
      <c r="B582" s="9">
        <f>B560+1</f>
        <v>92</v>
      </c>
      <c r="C582" s="15" t="s">
        <v>363</v>
      </c>
      <c r="D582" s="10" t="s">
        <v>36</v>
      </c>
      <c r="E582" s="11">
        <f>SUM(E583:E585)</f>
        <v>136.23500000000001</v>
      </c>
      <c r="F582" s="1"/>
      <c r="G582" s="12">
        <f>E582*F582</f>
        <v>0</v>
      </c>
      <c r="K582" s="38">
        <f>160*1.3</f>
        <v>208</v>
      </c>
      <c r="M582" s="1">
        <f>210/N42</f>
        <v>225.8064516129032</v>
      </c>
    </row>
    <row r="583" spans="1:13" x14ac:dyDescent="0.3">
      <c r="A583" s="20"/>
      <c r="B583" s="9"/>
      <c r="C583" s="14" t="s">
        <v>364</v>
      </c>
      <c r="D583" s="14"/>
      <c r="E583" s="14">
        <v>17</v>
      </c>
      <c r="G583" s="12"/>
    </row>
    <row r="584" spans="1:13" x14ac:dyDescent="0.3">
      <c r="A584" s="20"/>
      <c r="B584" s="9"/>
      <c r="C584" s="14" t="s">
        <v>365</v>
      </c>
      <c r="D584" s="14"/>
      <c r="E584" s="14">
        <f>45.59*1.5</f>
        <v>68.385000000000005</v>
      </c>
      <c r="G584" s="12"/>
    </row>
    <row r="585" spans="1:13" x14ac:dyDescent="0.3">
      <c r="A585" s="20"/>
      <c r="B585" s="9"/>
      <c r="C585" s="14" t="s">
        <v>366</v>
      </c>
      <c r="D585" s="14"/>
      <c r="E585" s="14">
        <f>33.9*1.5</f>
        <v>50.849999999999994</v>
      </c>
      <c r="G585" s="12"/>
    </row>
    <row r="586" spans="1:13" x14ac:dyDescent="0.3">
      <c r="A586" s="20"/>
      <c r="B586" s="9">
        <f>B582+1</f>
        <v>93</v>
      </c>
      <c r="C586" s="15" t="s">
        <v>354</v>
      </c>
      <c r="D586" s="10" t="s">
        <v>70</v>
      </c>
      <c r="E586" s="11">
        <v>1</v>
      </c>
      <c r="F586" s="1"/>
      <c r="G586" s="12">
        <f>E586*F586</f>
        <v>0</v>
      </c>
      <c r="M586" s="1">
        <f>15000/N42</f>
        <v>16129.032258064515</v>
      </c>
    </row>
    <row r="587" spans="1:13" x14ac:dyDescent="0.3">
      <c r="A587" s="20"/>
      <c r="B587" s="3" t="s">
        <v>179</v>
      </c>
      <c r="C587" s="4" t="s">
        <v>180</v>
      </c>
      <c r="D587" s="5"/>
      <c r="E587" s="6"/>
      <c r="F587" s="7"/>
      <c r="G587" s="8">
        <f>SUM(G588:G596)</f>
        <v>0</v>
      </c>
    </row>
    <row r="588" spans="1:13" x14ac:dyDescent="0.3">
      <c r="A588" s="20"/>
      <c r="B588" s="9">
        <f>B586+1</f>
        <v>94</v>
      </c>
      <c r="C588" t="s">
        <v>448</v>
      </c>
      <c r="D588" s="10" t="s">
        <v>70</v>
      </c>
      <c r="E588" s="11">
        <v>1</v>
      </c>
      <c r="F588" s="1"/>
      <c r="G588" s="12">
        <f>E588*F588</f>
        <v>0</v>
      </c>
      <c r="M588" s="1">
        <f>200000/N42</f>
        <v>215053.7634408602</v>
      </c>
    </row>
    <row r="589" spans="1:13" ht="28.8" x14ac:dyDescent="0.3">
      <c r="A589" s="20"/>
      <c r="B589" s="9"/>
      <c r="C589" s="13" t="s">
        <v>182</v>
      </c>
    </row>
    <row r="590" spans="1:13" x14ac:dyDescent="0.3">
      <c r="A590" s="20"/>
      <c r="B590" s="9">
        <f>B588+1</f>
        <v>95</v>
      </c>
      <c r="C590" t="s">
        <v>183</v>
      </c>
      <c r="D590" s="10" t="s">
        <v>70</v>
      </c>
      <c r="E590" s="11">
        <v>1</v>
      </c>
      <c r="F590" s="1"/>
      <c r="G590" s="12">
        <f>E590*F590</f>
        <v>0</v>
      </c>
      <c r="M590" s="1">
        <f>500000/N42</f>
        <v>537634.40860215051</v>
      </c>
    </row>
    <row r="591" spans="1:13" ht="28.8" x14ac:dyDescent="0.3">
      <c r="A591" s="20"/>
      <c r="B591" s="9"/>
      <c r="C591" s="13" t="s">
        <v>184</v>
      </c>
    </row>
    <row r="592" spans="1:13" x14ac:dyDescent="0.3">
      <c r="A592" s="20"/>
      <c r="B592" s="9">
        <f>B590+1</f>
        <v>96</v>
      </c>
      <c r="C592" t="s">
        <v>185</v>
      </c>
      <c r="D592" s="10" t="s">
        <v>70</v>
      </c>
      <c r="E592" s="11">
        <v>1</v>
      </c>
      <c r="F592" s="1"/>
      <c r="G592" s="12">
        <f>E592*F592</f>
        <v>0</v>
      </c>
    </row>
    <row r="593" spans="1:14" x14ac:dyDescent="0.3">
      <c r="A593" s="20"/>
      <c r="B593" s="9"/>
      <c r="C593" s="13" t="s">
        <v>465</v>
      </c>
    </row>
    <row r="594" spans="1:14" x14ac:dyDescent="0.3">
      <c r="A594" s="20"/>
      <c r="B594" s="9">
        <f>B592+1</f>
        <v>97</v>
      </c>
      <c r="C594" t="s">
        <v>466</v>
      </c>
      <c r="D594" s="10" t="s">
        <v>70</v>
      </c>
      <c r="E594" s="11">
        <v>1</v>
      </c>
      <c r="F594" s="1"/>
      <c r="G594" s="12">
        <f>E594*F594</f>
        <v>0</v>
      </c>
      <c r="H594" s="12">
        <f>G594</f>
        <v>0</v>
      </c>
      <c r="I594" s="12"/>
      <c r="M594" s="1">
        <f>20000/N42</f>
        <v>21505.37634408602</v>
      </c>
    </row>
    <row r="595" spans="1:14" x14ac:dyDescent="0.3">
      <c r="A595" s="20"/>
      <c r="B595" s="9"/>
      <c r="C595" s="13" t="s">
        <v>464</v>
      </c>
    </row>
    <row r="596" spans="1:14" ht="15" thickBot="1" x14ac:dyDescent="0.35">
      <c r="A596" s="20"/>
      <c r="B596" s="9">
        <f>B594+1</f>
        <v>98</v>
      </c>
      <c r="C596" s="15" t="s">
        <v>355</v>
      </c>
      <c r="D596" s="10" t="s">
        <v>70</v>
      </c>
      <c r="E596" s="11">
        <v>1</v>
      </c>
      <c r="F596" s="1"/>
      <c r="G596" s="12">
        <f>E596*F596</f>
        <v>0</v>
      </c>
      <c r="M596" s="1">
        <f>25000/N42</f>
        <v>26881.720430107525</v>
      </c>
    </row>
    <row r="597" spans="1:14" ht="15" thickBot="1" x14ac:dyDescent="0.35">
      <c r="A597" s="21"/>
      <c r="B597" s="201" t="s">
        <v>451</v>
      </c>
      <c r="C597" s="202"/>
      <c r="D597" s="202"/>
      <c r="E597" s="202"/>
      <c r="F597" s="202"/>
      <c r="G597" s="18">
        <f>SUM(G598,G671,G699,G707,G713,G719,G729,G740,G758,G780,G797,G815,G705)</f>
        <v>0</v>
      </c>
    </row>
    <row r="598" spans="1:14" x14ac:dyDescent="0.3">
      <c r="A598" s="21"/>
      <c r="B598" s="3" t="s">
        <v>33</v>
      </c>
      <c r="C598" s="4" t="s">
        <v>34</v>
      </c>
      <c r="D598" s="5"/>
      <c r="E598" s="6"/>
      <c r="F598" s="7"/>
      <c r="G598" s="8">
        <f>SUM(G599:G670)</f>
        <v>0</v>
      </c>
    </row>
    <row r="599" spans="1:14" ht="16.2" x14ac:dyDescent="0.3">
      <c r="A599" s="21"/>
      <c r="B599" s="9">
        <f>B596+1</f>
        <v>99</v>
      </c>
      <c r="C599" s="15" t="s">
        <v>136</v>
      </c>
      <c r="D599" s="10" t="s">
        <v>36</v>
      </c>
      <c r="E599" s="11">
        <f>SUM(E601:E606)</f>
        <v>224.48999999999998</v>
      </c>
      <c r="F599" s="1"/>
      <c r="G599" s="12">
        <f>E599*F599</f>
        <v>0</v>
      </c>
      <c r="K599" s="38">
        <f>45*1.3</f>
        <v>58.5</v>
      </c>
      <c r="M599" s="1">
        <f>60/N599</f>
        <v>64.516129032258064</v>
      </c>
      <c r="N599" s="132">
        <v>0.93</v>
      </c>
    </row>
    <row r="600" spans="1:14" x14ac:dyDescent="0.3">
      <c r="A600" s="21"/>
      <c r="B600" s="9"/>
      <c r="C600" s="14" t="s">
        <v>50</v>
      </c>
      <c r="E600" s="14"/>
      <c r="F600" s="12"/>
      <c r="G600" s="12"/>
      <c r="M600" s="12"/>
    </row>
    <row r="601" spans="1:14" x14ac:dyDescent="0.3">
      <c r="A601" s="21"/>
      <c r="B601" s="9"/>
      <c r="C601" s="14" t="s">
        <v>274</v>
      </c>
      <c r="E601" s="14">
        <v>52.45</v>
      </c>
      <c r="F601" s="12"/>
      <c r="G601" s="12"/>
      <c r="M601" s="12"/>
    </row>
    <row r="602" spans="1:14" x14ac:dyDescent="0.3">
      <c r="A602" s="21"/>
      <c r="B602" s="9"/>
      <c r="C602" s="14" t="s">
        <v>275</v>
      </c>
      <c r="E602" s="14">
        <v>13.12</v>
      </c>
      <c r="F602" s="12"/>
      <c r="G602" s="12"/>
      <c r="M602" s="12"/>
    </row>
    <row r="603" spans="1:14" x14ac:dyDescent="0.3">
      <c r="A603" s="21"/>
      <c r="B603"/>
      <c r="C603" s="14" t="s">
        <v>276</v>
      </c>
      <c r="D603"/>
      <c r="E603" s="14">
        <v>27.49</v>
      </c>
    </row>
    <row r="604" spans="1:14" x14ac:dyDescent="0.3">
      <c r="A604" s="21"/>
      <c r="B604"/>
      <c r="C604" s="14" t="s">
        <v>277</v>
      </c>
      <c r="D604"/>
      <c r="E604" s="14">
        <v>54.79</v>
      </c>
    </row>
    <row r="605" spans="1:14" x14ac:dyDescent="0.3">
      <c r="A605" s="21"/>
      <c r="B605"/>
      <c r="C605" s="14" t="s">
        <v>278</v>
      </c>
      <c r="D605"/>
      <c r="E605" s="14">
        <v>12.29</v>
      </c>
    </row>
    <row r="606" spans="1:14" x14ac:dyDescent="0.3">
      <c r="A606" s="21"/>
      <c r="B606"/>
      <c r="C606" s="14" t="s">
        <v>279</v>
      </c>
      <c r="D606"/>
      <c r="E606" s="14">
        <v>64.349999999999994</v>
      </c>
    </row>
    <row r="607" spans="1:14" ht="16.2" x14ac:dyDescent="0.3">
      <c r="A607" s="21"/>
      <c r="B607" s="9">
        <f>B599+1</f>
        <v>100</v>
      </c>
      <c r="C607" s="15" t="s">
        <v>138</v>
      </c>
      <c r="D607" s="10" t="s">
        <v>36</v>
      </c>
      <c r="E607" s="11">
        <f>SUM(E609:E614)</f>
        <v>450.72</v>
      </c>
      <c r="F607" s="1"/>
      <c r="G607" s="12">
        <f>E607*F607</f>
        <v>0</v>
      </c>
      <c r="M607" s="1">
        <f>53/N599</f>
        <v>56.989247311827953</v>
      </c>
    </row>
    <row r="608" spans="1:14" x14ac:dyDescent="0.3">
      <c r="A608" s="21"/>
      <c r="B608"/>
      <c r="C608" s="14" t="s">
        <v>50</v>
      </c>
      <c r="E608" s="14"/>
    </row>
    <row r="609" spans="1:13" x14ac:dyDescent="0.3">
      <c r="A609" s="21"/>
      <c r="B609"/>
      <c r="C609" s="14" t="s">
        <v>281</v>
      </c>
      <c r="E609" s="14">
        <v>97.87</v>
      </c>
    </row>
    <row r="610" spans="1:13" x14ac:dyDescent="0.3">
      <c r="A610" s="21"/>
      <c r="B610"/>
      <c r="C610" s="14" t="s">
        <v>282</v>
      </c>
      <c r="E610" s="14">
        <v>53.03</v>
      </c>
    </row>
    <row r="611" spans="1:13" x14ac:dyDescent="0.3">
      <c r="A611" s="21"/>
      <c r="B611"/>
      <c r="C611" s="14" t="s">
        <v>283</v>
      </c>
      <c r="D611"/>
      <c r="E611" s="14">
        <v>68.239999999999995</v>
      </c>
    </row>
    <row r="612" spans="1:13" x14ac:dyDescent="0.3">
      <c r="A612" s="21"/>
      <c r="B612"/>
      <c r="C612" s="14" t="s">
        <v>284</v>
      </c>
      <c r="D612"/>
      <c r="E612" s="14">
        <v>95.49</v>
      </c>
    </row>
    <row r="613" spans="1:13" x14ac:dyDescent="0.3">
      <c r="A613" s="21"/>
      <c r="B613"/>
      <c r="C613" s="14" t="s">
        <v>285</v>
      </c>
      <c r="D613"/>
      <c r="E613" s="14">
        <v>43.37</v>
      </c>
    </row>
    <row r="614" spans="1:13" x14ac:dyDescent="0.3">
      <c r="A614" s="21"/>
      <c r="B614"/>
      <c r="C614" s="14" t="s">
        <v>286</v>
      </c>
      <c r="D614"/>
      <c r="E614" s="14">
        <v>92.72</v>
      </c>
    </row>
    <row r="615" spans="1:13" x14ac:dyDescent="0.3">
      <c r="A615" s="21"/>
      <c r="B615" s="9">
        <f>B607+1</f>
        <v>101</v>
      </c>
      <c r="C615" s="15" t="s">
        <v>152</v>
      </c>
      <c r="D615" s="10" t="s">
        <v>17</v>
      </c>
      <c r="E615" s="11">
        <v>5</v>
      </c>
      <c r="F615" s="1"/>
      <c r="G615" s="12">
        <f>E615*F615</f>
        <v>0</v>
      </c>
      <c r="M615" s="1">
        <f>340/N599</f>
        <v>365.59139784946234</v>
      </c>
    </row>
    <row r="616" spans="1:13" x14ac:dyDescent="0.3">
      <c r="A616" s="21"/>
      <c r="C616" s="17" t="s">
        <v>153</v>
      </c>
    </row>
    <row r="617" spans="1:13" x14ac:dyDescent="0.3">
      <c r="A617" s="21"/>
      <c r="B617" s="9">
        <f>B615+1</f>
        <v>102</v>
      </c>
      <c r="C617" s="15" t="s">
        <v>154</v>
      </c>
      <c r="D617" s="10" t="s">
        <v>70</v>
      </c>
      <c r="E617" s="11">
        <v>1</v>
      </c>
      <c r="F617" s="1"/>
      <c r="G617" s="12">
        <f>E617*F617</f>
        <v>0</v>
      </c>
      <c r="M617" s="1">
        <f>12000/N599</f>
        <v>12903.225806451612</v>
      </c>
    </row>
    <row r="618" spans="1:13" x14ac:dyDescent="0.3">
      <c r="A618" s="21"/>
      <c r="C618" s="17" t="s">
        <v>155</v>
      </c>
    </row>
    <row r="619" spans="1:13" ht="16.2" x14ac:dyDescent="0.3">
      <c r="A619" s="21"/>
      <c r="B619" s="9">
        <f>B617+1</f>
        <v>103</v>
      </c>
      <c r="C619" s="15" t="s">
        <v>156</v>
      </c>
      <c r="D619" s="10" t="s">
        <v>36</v>
      </c>
      <c r="E619" s="11">
        <f>SUM(E622:E627)</f>
        <v>675.21</v>
      </c>
      <c r="F619" s="1"/>
      <c r="G619" s="12">
        <f>E619*F619</f>
        <v>0</v>
      </c>
      <c r="K619" s="38">
        <f>70*1.25</f>
        <v>87.5</v>
      </c>
      <c r="M619" s="1">
        <f>88/N599</f>
        <v>94.623655913978496</v>
      </c>
    </row>
    <row r="620" spans="1:13" x14ac:dyDescent="0.3">
      <c r="A620" s="21"/>
      <c r="C620" s="17" t="s">
        <v>157</v>
      </c>
    </row>
    <row r="621" spans="1:13" x14ac:dyDescent="0.3">
      <c r="A621" s="21"/>
      <c r="C621" s="14" t="s">
        <v>117</v>
      </c>
      <c r="E621" s="14"/>
    </row>
    <row r="622" spans="1:13" ht="16.2" x14ac:dyDescent="0.3">
      <c r="A622" s="21"/>
      <c r="C622" s="14" t="s">
        <v>287</v>
      </c>
      <c r="E622" s="14">
        <v>150.32</v>
      </c>
    </row>
    <row r="623" spans="1:13" ht="16.2" x14ac:dyDescent="0.3">
      <c r="A623" s="21"/>
      <c r="C623" s="14" t="s">
        <v>288</v>
      </c>
      <c r="E623" s="14">
        <v>66.150000000000006</v>
      </c>
    </row>
    <row r="624" spans="1:13" ht="16.2" x14ac:dyDescent="0.3">
      <c r="A624" s="21"/>
      <c r="C624" s="14" t="s">
        <v>289</v>
      </c>
      <c r="D624"/>
      <c r="E624" s="14">
        <v>95.73</v>
      </c>
    </row>
    <row r="625" spans="1:13" ht="16.2" x14ac:dyDescent="0.3">
      <c r="A625" s="21"/>
      <c r="C625" s="14" t="s">
        <v>290</v>
      </c>
      <c r="D625"/>
      <c r="E625" s="14">
        <v>150.28</v>
      </c>
    </row>
    <row r="626" spans="1:13" ht="16.2" x14ac:dyDescent="0.3">
      <c r="A626" s="21"/>
      <c r="C626" s="14" t="s">
        <v>291</v>
      </c>
      <c r="D626"/>
      <c r="E626" s="14">
        <v>55.66</v>
      </c>
    </row>
    <row r="627" spans="1:13" ht="16.2" x14ac:dyDescent="0.3">
      <c r="A627" s="21"/>
      <c r="C627" s="14" t="s">
        <v>292</v>
      </c>
      <c r="D627"/>
      <c r="E627" s="14">
        <v>157.07</v>
      </c>
    </row>
    <row r="628" spans="1:13" ht="16.2" x14ac:dyDescent="0.3">
      <c r="A628" s="21"/>
      <c r="B628" s="9">
        <f>B619+1</f>
        <v>104</v>
      </c>
      <c r="C628" s="15" t="s">
        <v>162</v>
      </c>
      <c r="D628" s="10" t="s">
        <v>36</v>
      </c>
      <c r="E628" s="11">
        <f>SUM(E631:E636)</f>
        <v>675.21</v>
      </c>
      <c r="F628" s="1"/>
      <c r="G628" s="12">
        <f>E628*F628</f>
        <v>0</v>
      </c>
      <c r="K628" s="38">
        <f>78*1.3</f>
        <v>101.4</v>
      </c>
      <c r="M628" s="1">
        <f>102/N599</f>
        <v>109.6774193548387</v>
      </c>
    </row>
    <row r="629" spans="1:13" x14ac:dyDescent="0.3">
      <c r="A629" s="21"/>
      <c r="C629" s="17" t="s">
        <v>163</v>
      </c>
    </row>
    <row r="630" spans="1:13" x14ac:dyDescent="0.3">
      <c r="A630" s="21"/>
      <c r="C630" s="14" t="s">
        <v>117</v>
      </c>
      <c r="E630" s="14"/>
    </row>
    <row r="631" spans="1:13" ht="16.2" x14ac:dyDescent="0.3">
      <c r="A631" s="21"/>
      <c r="C631" s="14" t="s">
        <v>287</v>
      </c>
      <c r="E631" s="14">
        <v>150.32</v>
      </c>
    </row>
    <row r="632" spans="1:13" ht="16.2" x14ac:dyDescent="0.3">
      <c r="A632" s="21"/>
      <c r="C632" s="14" t="s">
        <v>288</v>
      </c>
      <c r="E632" s="14">
        <v>66.150000000000006</v>
      </c>
    </row>
    <row r="633" spans="1:13" ht="16.2" x14ac:dyDescent="0.3">
      <c r="A633" s="21"/>
      <c r="C633" s="14" t="s">
        <v>289</v>
      </c>
      <c r="D633"/>
      <c r="E633" s="14">
        <v>95.73</v>
      </c>
    </row>
    <row r="634" spans="1:13" ht="16.2" x14ac:dyDescent="0.3">
      <c r="A634" s="21"/>
      <c r="C634" s="14" t="s">
        <v>290</v>
      </c>
      <c r="D634"/>
      <c r="E634" s="14">
        <v>150.28</v>
      </c>
    </row>
    <row r="635" spans="1:13" ht="16.2" x14ac:dyDescent="0.3">
      <c r="A635" s="21"/>
      <c r="C635" s="14" t="s">
        <v>291</v>
      </c>
      <c r="D635"/>
      <c r="E635" s="14">
        <v>55.66</v>
      </c>
    </row>
    <row r="636" spans="1:13" ht="16.2" x14ac:dyDescent="0.3">
      <c r="A636" s="21"/>
      <c r="C636" s="14" t="s">
        <v>292</v>
      </c>
      <c r="D636"/>
      <c r="E636" s="14">
        <v>157.07</v>
      </c>
    </row>
    <row r="637" spans="1:13" ht="16.2" x14ac:dyDescent="0.3">
      <c r="A637" s="21"/>
      <c r="B637" s="9">
        <f>B628+1</f>
        <v>105</v>
      </c>
      <c r="C637" s="15" t="s">
        <v>164</v>
      </c>
      <c r="D637" s="10" t="s">
        <v>36</v>
      </c>
      <c r="E637" s="11">
        <f>SUM(E640:E645)</f>
        <v>450.72</v>
      </c>
      <c r="F637" s="1"/>
      <c r="G637" s="12">
        <f>E637*F637</f>
        <v>0</v>
      </c>
      <c r="K637" s="38">
        <f>(40+40+40+200)*1.3</f>
        <v>416</v>
      </c>
      <c r="M637" s="1">
        <f>455/N599</f>
        <v>489.24731182795699</v>
      </c>
    </row>
    <row r="638" spans="1:13" ht="28.8" x14ac:dyDescent="0.3">
      <c r="A638" s="21"/>
      <c r="C638" s="13" t="s">
        <v>165</v>
      </c>
    </row>
    <row r="639" spans="1:13" x14ac:dyDescent="0.3">
      <c r="A639" s="21"/>
      <c r="B639"/>
      <c r="C639" s="14" t="s">
        <v>50</v>
      </c>
      <c r="E639" s="14"/>
    </row>
    <row r="640" spans="1:13" x14ac:dyDescent="0.3">
      <c r="A640" s="21"/>
      <c r="B640"/>
      <c r="C640" s="14" t="s">
        <v>281</v>
      </c>
      <c r="E640" s="14">
        <v>97.87</v>
      </c>
    </row>
    <row r="641" spans="1:13" x14ac:dyDescent="0.3">
      <c r="A641" s="21"/>
      <c r="B641"/>
      <c r="C641" s="14" t="s">
        <v>282</v>
      </c>
      <c r="E641" s="14">
        <v>53.03</v>
      </c>
    </row>
    <row r="642" spans="1:13" x14ac:dyDescent="0.3">
      <c r="A642" s="21"/>
      <c r="B642"/>
      <c r="C642" s="14" t="s">
        <v>283</v>
      </c>
      <c r="D642"/>
      <c r="E642" s="14">
        <v>68.239999999999995</v>
      </c>
    </row>
    <row r="643" spans="1:13" x14ac:dyDescent="0.3">
      <c r="A643" s="21"/>
      <c r="B643"/>
      <c r="C643" s="14" t="s">
        <v>284</v>
      </c>
      <c r="D643"/>
      <c r="E643" s="14">
        <v>95.49</v>
      </c>
    </row>
    <row r="644" spans="1:13" x14ac:dyDescent="0.3">
      <c r="A644" s="21"/>
      <c r="B644"/>
      <c r="C644" s="14" t="s">
        <v>285</v>
      </c>
      <c r="D644"/>
      <c r="E644" s="14">
        <v>43.37</v>
      </c>
    </row>
    <row r="645" spans="1:13" x14ac:dyDescent="0.3">
      <c r="A645" s="21"/>
      <c r="B645"/>
      <c r="C645" s="14" t="s">
        <v>286</v>
      </c>
      <c r="D645"/>
      <c r="E645" s="14">
        <v>92.72</v>
      </c>
    </row>
    <row r="646" spans="1:13" ht="16.2" x14ac:dyDescent="0.3">
      <c r="A646" s="21"/>
      <c r="B646" s="9">
        <f>B637+1</f>
        <v>106</v>
      </c>
      <c r="C646" s="15" t="s">
        <v>170</v>
      </c>
      <c r="D646" s="10" t="s">
        <v>36</v>
      </c>
      <c r="E646" s="11">
        <f>SUM(E649:E654)</f>
        <v>224.48999999999998</v>
      </c>
      <c r="F646" s="1"/>
      <c r="G646" s="12">
        <f>E646*F646</f>
        <v>0</v>
      </c>
      <c r="M646" s="1">
        <f>555/N599</f>
        <v>596.77419354838707</v>
      </c>
    </row>
    <row r="647" spans="1:13" ht="28.8" x14ac:dyDescent="0.3">
      <c r="A647" s="21"/>
      <c r="C647" s="13" t="s">
        <v>165</v>
      </c>
    </row>
    <row r="648" spans="1:13" x14ac:dyDescent="0.3">
      <c r="A648" s="21"/>
      <c r="C648" s="14" t="s">
        <v>50</v>
      </c>
      <c r="E648" s="14"/>
    </row>
    <row r="649" spans="1:13" x14ac:dyDescent="0.3">
      <c r="A649" s="21"/>
      <c r="C649" s="14" t="s">
        <v>274</v>
      </c>
      <c r="E649" s="14">
        <v>52.45</v>
      </c>
    </row>
    <row r="650" spans="1:13" x14ac:dyDescent="0.3">
      <c r="A650" s="21"/>
      <c r="C650" s="14" t="s">
        <v>275</v>
      </c>
      <c r="E650" s="14">
        <v>13.12</v>
      </c>
    </row>
    <row r="651" spans="1:13" x14ac:dyDescent="0.3">
      <c r="A651" s="21"/>
      <c r="C651" s="14" t="s">
        <v>276</v>
      </c>
      <c r="D651"/>
      <c r="E651" s="14">
        <v>27.49</v>
      </c>
    </row>
    <row r="652" spans="1:13" x14ac:dyDescent="0.3">
      <c r="A652" s="21"/>
      <c r="C652" s="14" t="s">
        <v>277</v>
      </c>
      <c r="D652"/>
      <c r="E652" s="14">
        <v>54.79</v>
      </c>
    </row>
    <row r="653" spans="1:13" x14ac:dyDescent="0.3">
      <c r="A653" s="21"/>
      <c r="C653" s="14" t="s">
        <v>278</v>
      </c>
      <c r="D653"/>
      <c r="E653" s="14">
        <v>12.29</v>
      </c>
    </row>
    <row r="654" spans="1:13" x14ac:dyDescent="0.3">
      <c r="A654" s="21"/>
      <c r="C654" s="14" t="s">
        <v>279</v>
      </c>
      <c r="D654"/>
      <c r="E654" s="14">
        <v>64.349999999999994</v>
      </c>
    </row>
    <row r="655" spans="1:13" ht="16.2" x14ac:dyDescent="0.3">
      <c r="A655" s="21"/>
      <c r="B655" s="9">
        <f>B646+1</f>
        <v>107</v>
      </c>
      <c r="C655" s="15" t="s">
        <v>173</v>
      </c>
      <c r="D655" s="10" t="s">
        <v>36</v>
      </c>
      <c r="E655" s="11">
        <f>SUM(E657:E662)</f>
        <v>224.48999999999998</v>
      </c>
      <c r="F655" s="1"/>
      <c r="G655" s="12">
        <f>E655*F655</f>
        <v>0</v>
      </c>
      <c r="K655" s="38">
        <f>205*1.3</f>
        <v>266.5</v>
      </c>
      <c r="M655" s="1">
        <f>267/N599</f>
        <v>287.09677419354836</v>
      </c>
    </row>
    <row r="656" spans="1:13" x14ac:dyDescent="0.3">
      <c r="A656" s="21"/>
      <c r="C656" s="14" t="s">
        <v>50</v>
      </c>
      <c r="E656" s="14"/>
    </row>
    <row r="657" spans="1:13" x14ac:dyDescent="0.3">
      <c r="A657" s="21"/>
      <c r="B657"/>
      <c r="C657" s="14" t="s">
        <v>274</v>
      </c>
      <c r="E657" s="14">
        <v>52.45</v>
      </c>
    </row>
    <row r="658" spans="1:13" x14ac:dyDescent="0.3">
      <c r="A658" s="21"/>
      <c r="B658"/>
      <c r="C658" s="14" t="s">
        <v>275</v>
      </c>
      <c r="E658" s="14">
        <v>13.12</v>
      </c>
    </row>
    <row r="659" spans="1:13" x14ac:dyDescent="0.3">
      <c r="A659" s="21"/>
      <c r="B659"/>
      <c r="C659" s="14" t="s">
        <v>276</v>
      </c>
      <c r="D659"/>
      <c r="E659" s="14">
        <v>27.49</v>
      </c>
    </row>
    <row r="660" spans="1:13" x14ac:dyDescent="0.3">
      <c r="A660" s="21"/>
      <c r="B660"/>
      <c r="C660" s="14" t="s">
        <v>277</v>
      </c>
      <c r="D660"/>
      <c r="E660" s="14">
        <v>54.79</v>
      </c>
    </row>
    <row r="661" spans="1:13" x14ac:dyDescent="0.3">
      <c r="A661" s="21"/>
      <c r="B661"/>
      <c r="C661" s="14" t="s">
        <v>278</v>
      </c>
      <c r="D661"/>
      <c r="E661" s="14">
        <v>12.29</v>
      </c>
    </row>
    <row r="662" spans="1:13" x14ac:dyDescent="0.3">
      <c r="A662" s="21"/>
      <c r="B662"/>
      <c r="C662" s="14" t="s">
        <v>279</v>
      </c>
      <c r="D662"/>
      <c r="E662" s="14">
        <v>64.349999999999994</v>
      </c>
    </row>
    <row r="663" spans="1:13" ht="16.2" x14ac:dyDescent="0.3">
      <c r="A663" s="21"/>
      <c r="B663" s="9">
        <f>B655+1</f>
        <v>108</v>
      </c>
      <c r="C663" s="15" t="s">
        <v>174</v>
      </c>
      <c r="D663" s="10" t="s">
        <v>36</v>
      </c>
      <c r="E663" s="11">
        <f>SUM(E665:E670)</f>
        <v>450.72</v>
      </c>
      <c r="F663" s="1"/>
      <c r="G663" s="12">
        <f>E663*F663</f>
        <v>0</v>
      </c>
      <c r="M663" s="1">
        <f>237/N599</f>
        <v>254.83870967741933</v>
      </c>
    </row>
    <row r="664" spans="1:13" x14ac:dyDescent="0.3">
      <c r="A664" s="21"/>
      <c r="C664" s="14" t="s">
        <v>50</v>
      </c>
      <c r="E664" s="14"/>
    </row>
    <row r="665" spans="1:13" x14ac:dyDescent="0.3">
      <c r="A665" s="21"/>
      <c r="B665"/>
      <c r="C665" s="14" t="s">
        <v>281</v>
      </c>
      <c r="E665" s="14">
        <v>97.87</v>
      </c>
    </row>
    <row r="666" spans="1:13" x14ac:dyDescent="0.3">
      <c r="A666" s="21"/>
      <c r="B666"/>
      <c r="C666" s="14" t="s">
        <v>282</v>
      </c>
      <c r="E666" s="14">
        <v>53.03</v>
      </c>
    </row>
    <row r="667" spans="1:13" x14ac:dyDescent="0.3">
      <c r="A667" s="21"/>
      <c r="B667"/>
      <c r="C667" s="14" t="s">
        <v>283</v>
      </c>
      <c r="D667"/>
      <c r="E667" s="14">
        <v>68.239999999999995</v>
      </c>
    </row>
    <row r="668" spans="1:13" x14ac:dyDescent="0.3">
      <c r="A668" s="21"/>
      <c r="B668"/>
      <c r="C668" s="14" t="s">
        <v>284</v>
      </c>
      <c r="D668"/>
      <c r="E668" s="14">
        <v>95.49</v>
      </c>
    </row>
    <row r="669" spans="1:13" x14ac:dyDescent="0.3">
      <c r="A669" s="21"/>
      <c r="B669"/>
      <c r="C669" s="14" t="s">
        <v>285</v>
      </c>
      <c r="D669"/>
      <c r="E669" s="14">
        <v>43.37</v>
      </c>
    </row>
    <row r="670" spans="1:13" x14ac:dyDescent="0.3">
      <c r="A670" s="21"/>
      <c r="B670"/>
      <c r="C670" s="14" t="s">
        <v>286</v>
      </c>
      <c r="D670"/>
      <c r="E670" s="14">
        <v>92.72</v>
      </c>
    </row>
    <row r="671" spans="1:13" x14ac:dyDescent="0.3">
      <c r="A671" s="21"/>
      <c r="B671" s="3" t="s">
        <v>39</v>
      </c>
      <c r="C671" s="4" t="s">
        <v>40</v>
      </c>
      <c r="D671" s="5"/>
      <c r="E671" s="6"/>
      <c r="F671" s="7"/>
      <c r="G671" s="8">
        <f>SUM(G672:G698)</f>
        <v>0</v>
      </c>
    </row>
    <row r="672" spans="1:13" ht="16.2" x14ac:dyDescent="0.3">
      <c r="A672" s="21"/>
      <c r="B672" s="9">
        <f>B663+1</f>
        <v>109</v>
      </c>
      <c r="C672" s="15" t="s">
        <v>190</v>
      </c>
      <c r="D672" s="10" t="s">
        <v>36</v>
      </c>
      <c r="E672" s="11">
        <f>SUM(E675:E680)</f>
        <v>224.48999999999998</v>
      </c>
      <c r="F672" s="1"/>
      <c r="G672" s="12">
        <f>E672*F672</f>
        <v>0</v>
      </c>
      <c r="M672" s="1">
        <f>30/N599</f>
        <v>32.258064516129032</v>
      </c>
    </row>
    <row r="673" spans="1:13" x14ac:dyDescent="0.3">
      <c r="A673" s="21"/>
      <c r="C673" s="13" t="s">
        <v>191</v>
      </c>
    </row>
    <row r="674" spans="1:13" x14ac:dyDescent="0.3">
      <c r="A674" s="21"/>
      <c r="B674" s="9"/>
      <c r="C674" s="14" t="s">
        <v>50</v>
      </c>
      <c r="E674" s="14"/>
      <c r="F674" s="12"/>
      <c r="G674" s="12"/>
      <c r="M674" s="12"/>
    </row>
    <row r="675" spans="1:13" x14ac:dyDescent="0.3">
      <c r="A675" s="21"/>
      <c r="B675" s="9"/>
      <c r="C675" s="14" t="s">
        <v>274</v>
      </c>
      <c r="E675" s="14">
        <v>52.45</v>
      </c>
      <c r="F675" s="12"/>
      <c r="G675" s="12"/>
      <c r="M675" s="12"/>
    </row>
    <row r="676" spans="1:13" x14ac:dyDescent="0.3">
      <c r="A676" s="21"/>
      <c r="B676" s="9"/>
      <c r="C676" s="14" t="s">
        <v>275</v>
      </c>
      <c r="E676" s="14">
        <v>13.12</v>
      </c>
      <c r="F676" s="12"/>
      <c r="G676" s="12"/>
      <c r="M676" s="12"/>
    </row>
    <row r="677" spans="1:13" x14ac:dyDescent="0.3">
      <c r="A677" s="21"/>
      <c r="B677" s="9"/>
      <c r="C677" s="14" t="s">
        <v>276</v>
      </c>
      <c r="D677"/>
      <c r="E677" s="14">
        <v>27.49</v>
      </c>
      <c r="F677" s="12"/>
      <c r="G677" s="12"/>
      <c r="M677" s="12"/>
    </row>
    <row r="678" spans="1:13" x14ac:dyDescent="0.3">
      <c r="A678" s="21"/>
      <c r="B678" s="9"/>
      <c r="C678" s="14" t="s">
        <v>277</v>
      </c>
      <c r="D678"/>
      <c r="E678" s="14">
        <v>54.79</v>
      </c>
      <c r="F678" s="12"/>
      <c r="G678" s="12"/>
      <c r="M678" s="12"/>
    </row>
    <row r="679" spans="1:13" x14ac:dyDescent="0.3">
      <c r="A679" s="21"/>
      <c r="B679" s="9"/>
      <c r="C679" s="14" t="s">
        <v>278</v>
      </c>
      <c r="D679"/>
      <c r="E679" s="14">
        <v>12.29</v>
      </c>
      <c r="F679" s="12"/>
      <c r="G679" s="12"/>
      <c r="M679" s="12"/>
    </row>
    <row r="680" spans="1:13" x14ac:dyDescent="0.3">
      <c r="A680" s="21"/>
      <c r="B680" s="9"/>
      <c r="C680" s="14" t="s">
        <v>279</v>
      </c>
      <c r="D680"/>
      <c r="E680" s="14">
        <v>64.349999999999994</v>
      </c>
      <c r="F680" s="12"/>
      <c r="G680" s="12"/>
      <c r="M680" s="12"/>
    </row>
    <row r="681" spans="1:13" ht="16.2" x14ac:dyDescent="0.3">
      <c r="A681" s="21"/>
      <c r="B681" s="9">
        <f>B672+1</f>
        <v>110</v>
      </c>
      <c r="C681" s="15" t="s">
        <v>192</v>
      </c>
      <c r="D681" s="10" t="s">
        <v>36</v>
      </c>
      <c r="E681" s="11">
        <f>SUM(E684:E689)</f>
        <v>224.48999999999998</v>
      </c>
      <c r="F681" s="1"/>
      <c r="G681" s="12">
        <f>E681*F681</f>
        <v>0</v>
      </c>
      <c r="M681" s="1">
        <f>42/N599</f>
        <v>45.161290322580641</v>
      </c>
    </row>
    <row r="682" spans="1:13" x14ac:dyDescent="0.3">
      <c r="A682" s="21"/>
      <c r="C682" s="13" t="s">
        <v>193</v>
      </c>
    </row>
    <row r="683" spans="1:13" x14ac:dyDescent="0.3">
      <c r="A683" s="21"/>
      <c r="B683" s="9"/>
      <c r="C683" s="14" t="s">
        <v>50</v>
      </c>
      <c r="E683" s="14"/>
      <c r="F683" s="12"/>
      <c r="G683" s="12"/>
      <c r="M683" s="12"/>
    </row>
    <row r="684" spans="1:13" x14ac:dyDescent="0.3">
      <c r="A684" s="21"/>
      <c r="B684" s="9"/>
      <c r="C684" s="14" t="s">
        <v>274</v>
      </c>
      <c r="E684" s="14">
        <v>52.45</v>
      </c>
      <c r="F684" s="12"/>
      <c r="G684" s="12"/>
      <c r="M684" s="12"/>
    </row>
    <row r="685" spans="1:13" x14ac:dyDescent="0.3">
      <c r="A685" s="21"/>
      <c r="B685" s="9"/>
      <c r="C685" s="14" t="s">
        <v>275</v>
      </c>
      <c r="E685" s="14">
        <v>13.12</v>
      </c>
      <c r="F685" s="12"/>
      <c r="G685" s="12"/>
      <c r="M685" s="12"/>
    </row>
    <row r="686" spans="1:13" x14ac:dyDescent="0.3">
      <c r="A686" s="21"/>
      <c r="B686" s="9"/>
      <c r="C686" s="14" t="s">
        <v>276</v>
      </c>
      <c r="D686"/>
      <c r="E686" s="14">
        <v>27.49</v>
      </c>
      <c r="F686" s="12"/>
      <c r="G686" s="12"/>
      <c r="M686" s="12"/>
    </row>
    <row r="687" spans="1:13" x14ac:dyDescent="0.3">
      <c r="A687" s="21"/>
      <c r="B687" s="9"/>
      <c r="C687" s="14" t="s">
        <v>277</v>
      </c>
      <c r="D687"/>
      <c r="E687" s="14">
        <v>54.79</v>
      </c>
      <c r="F687" s="12"/>
      <c r="G687" s="12"/>
      <c r="M687" s="12"/>
    </row>
    <row r="688" spans="1:13" x14ac:dyDescent="0.3">
      <c r="A688" s="21"/>
      <c r="B688" s="9"/>
      <c r="C688" s="14" t="s">
        <v>278</v>
      </c>
      <c r="D688"/>
      <c r="E688" s="14">
        <v>12.29</v>
      </c>
      <c r="F688" s="12"/>
      <c r="G688" s="12"/>
      <c r="M688" s="12"/>
    </row>
    <row r="689" spans="1:13" x14ac:dyDescent="0.3">
      <c r="A689" s="21"/>
      <c r="B689" s="9"/>
      <c r="C689" s="14" t="s">
        <v>279</v>
      </c>
      <c r="D689"/>
      <c r="E689" s="14">
        <v>64.349999999999994</v>
      </c>
      <c r="F689" s="12"/>
      <c r="G689" s="12"/>
      <c r="M689" s="12"/>
    </row>
    <row r="690" spans="1:13" ht="16.2" x14ac:dyDescent="0.3">
      <c r="A690" s="21"/>
      <c r="B690" s="9">
        <f>B681+1</f>
        <v>111</v>
      </c>
      <c r="C690" s="15" t="s">
        <v>195</v>
      </c>
      <c r="D690" s="10" t="s">
        <v>36</v>
      </c>
      <c r="E690" s="11">
        <f>SUM(E693:E698)</f>
        <v>224.48999999999998</v>
      </c>
      <c r="F690" s="1"/>
      <c r="G690" s="12">
        <f>E690*F690</f>
        <v>0</v>
      </c>
      <c r="K690" s="38">
        <f>620*1.3</f>
        <v>806</v>
      </c>
      <c r="M690" s="1">
        <f>806/N599</f>
        <v>866.66666666666663</v>
      </c>
    </row>
    <row r="691" spans="1:13" x14ac:dyDescent="0.3">
      <c r="A691" s="21"/>
      <c r="C691" s="13" t="s">
        <v>196</v>
      </c>
    </row>
    <row r="692" spans="1:13" x14ac:dyDescent="0.3">
      <c r="A692" s="21"/>
      <c r="B692" s="9"/>
      <c r="C692" s="14" t="s">
        <v>50</v>
      </c>
      <c r="E692" s="14"/>
      <c r="F692" s="12"/>
      <c r="G692" s="12"/>
      <c r="M692" s="12"/>
    </row>
    <row r="693" spans="1:13" x14ac:dyDescent="0.3">
      <c r="A693" s="21"/>
      <c r="B693" s="9"/>
      <c r="C693" s="14" t="s">
        <v>274</v>
      </c>
      <c r="E693" s="14">
        <v>52.45</v>
      </c>
      <c r="F693" s="12"/>
      <c r="G693" s="12"/>
      <c r="M693" s="12"/>
    </row>
    <row r="694" spans="1:13" x14ac:dyDescent="0.3">
      <c r="A694" s="21"/>
      <c r="B694" s="9"/>
      <c r="C694" s="14" t="s">
        <v>275</v>
      </c>
      <c r="E694" s="14">
        <v>13.12</v>
      </c>
      <c r="F694" s="12"/>
      <c r="G694" s="12"/>
      <c r="M694" s="12"/>
    </row>
    <row r="695" spans="1:13" x14ac:dyDescent="0.3">
      <c r="A695" s="21"/>
      <c r="B695" s="9"/>
      <c r="C695" s="14" t="s">
        <v>276</v>
      </c>
      <c r="D695"/>
      <c r="E695" s="14">
        <v>27.49</v>
      </c>
      <c r="F695" s="12"/>
      <c r="G695" s="12"/>
      <c r="M695" s="12"/>
    </row>
    <row r="696" spans="1:13" x14ac:dyDescent="0.3">
      <c r="A696" s="21"/>
      <c r="B696" s="9"/>
      <c r="C696" s="14" t="s">
        <v>277</v>
      </c>
      <c r="D696"/>
      <c r="E696" s="14">
        <v>54.79</v>
      </c>
      <c r="F696" s="12"/>
      <c r="G696" s="12"/>
      <c r="M696" s="12"/>
    </row>
    <row r="697" spans="1:13" x14ac:dyDescent="0.3">
      <c r="A697" s="21"/>
      <c r="B697" s="9"/>
      <c r="C697" s="14" t="s">
        <v>278</v>
      </c>
      <c r="D697"/>
      <c r="E697" s="14">
        <v>12.29</v>
      </c>
      <c r="F697" s="12"/>
      <c r="G697" s="12"/>
      <c r="M697" s="12"/>
    </row>
    <row r="698" spans="1:13" x14ac:dyDescent="0.3">
      <c r="A698" s="21"/>
      <c r="B698" s="9"/>
      <c r="C698" s="14" t="s">
        <v>279</v>
      </c>
      <c r="D698"/>
      <c r="E698" s="14">
        <v>64.349999999999994</v>
      </c>
      <c r="F698" s="12"/>
      <c r="G698" s="12"/>
      <c r="M698" s="12"/>
    </row>
    <row r="699" spans="1:13" x14ac:dyDescent="0.3">
      <c r="A699" s="21"/>
      <c r="B699" s="3" t="s">
        <v>205</v>
      </c>
      <c r="C699" s="4" t="s">
        <v>206</v>
      </c>
      <c r="D699" s="5"/>
      <c r="E699" s="6"/>
      <c r="F699" s="7"/>
      <c r="G699" s="8">
        <f>SUM(G700:G704)</f>
        <v>0</v>
      </c>
    </row>
    <row r="700" spans="1:13" x14ac:dyDescent="0.3">
      <c r="A700" s="21"/>
      <c r="B700" s="9">
        <f>B690+1</f>
        <v>112</v>
      </c>
      <c r="C700" s="15" t="s">
        <v>214</v>
      </c>
      <c r="D700" s="10" t="s">
        <v>30</v>
      </c>
      <c r="E700" s="11">
        <f>SUM(E703:E704)</f>
        <v>8</v>
      </c>
      <c r="F700" s="1"/>
      <c r="G700" s="12">
        <f>E700*F700</f>
        <v>0</v>
      </c>
      <c r="K700" s="38">
        <f>300+3*550</f>
        <v>1950</v>
      </c>
      <c r="M700" s="1">
        <f>1950/N599</f>
        <v>2096.7741935483868</v>
      </c>
    </row>
    <row r="701" spans="1:13" x14ac:dyDescent="0.3">
      <c r="A701" s="21"/>
      <c r="B701"/>
      <c r="C701" s="13" t="s">
        <v>215</v>
      </c>
      <c r="D701"/>
      <c r="E701" s="14"/>
    </row>
    <row r="702" spans="1:13" x14ac:dyDescent="0.3">
      <c r="A702" s="21"/>
      <c r="B702"/>
      <c r="C702" s="14" t="s">
        <v>50</v>
      </c>
      <c r="E702" s="14"/>
    </row>
    <row r="703" spans="1:13" x14ac:dyDescent="0.3">
      <c r="A703" s="21"/>
      <c r="B703"/>
      <c r="C703" s="14" t="s">
        <v>265</v>
      </c>
      <c r="E703" s="14">
        <v>4</v>
      </c>
    </row>
    <row r="704" spans="1:13" x14ac:dyDescent="0.3">
      <c r="A704" s="21"/>
      <c r="B704"/>
      <c r="C704" s="14" t="s">
        <v>266</v>
      </c>
      <c r="E704" s="14">
        <v>4</v>
      </c>
    </row>
    <row r="705" spans="1:14" x14ac:dyDescent="0.3">
      <c r="A705" s="21"/>
      <c r="B705" s="3" t="s">
        <v>342</v>
      </c>
      <c r="C705" s="4" t="s">
        <v>344</v>
      </c>
      <c r="D705" s="5"/>
      <c r="E705" s="6"/>
      <c r="F705" s="7"/>
      <c r="G705" s="8">
        <f>SUM(G706)</f>
        <v>0</v>
      </c>
    </row>
    <row r="706" spans="1:14" x14ac:dyDescent="0.3">
      <c r="A706" s="21"/>
      <c r="B706" s="9">
        <f>B700+1</f>
        <v>113</v>
      </c>
      <c r="C706" s="15" t="s">
        <v>343</v>
      </c>
      <c r="D706" s="10" t="s">
        <v>70</v>
      </c>
      <c r="E706" s="11">
        <v>1</v>
      </c>
      <c r="F706" s="1"/>
      <c r="G706" s="12">
        <f>E706*F706</f>
        <v>0</v>
      </c>
      <c r="M706" s="1">
        <f>30000/N599</f>
        <v>32258.06451612903</v>
      </c>
    </row>
    <row r="707" spans="1:14" x14ac:dyDescent="0.3">
      <c r="A707" s="21"/>
      <c r="B707" s="3" t="s">
        <v>243</v>
      </c>
      <c r="C707" s="4" t="s">
        <v>244</v>
      </c>
      <c r="D707" s="5"/>
      <c r="E707" s="6"/>
      <c r="F707" s="7"/>
      <c r="G707" s="8">
        <f>SUM(G708:G712)</f>
        <v>0</v>
      </c>
      <c r="N707" s="39"/>
    </row>
    <row r="708" spans="1:14" x14ac:dyDescent="0.3">
      <c r="A708" s="21"/>
      <c r="B708" s="9">
        <f>B706+1</f>
        <v>114</v>
      </c>
      <c r="C708" t="s">
        <v>245</v>
      </c>
      <c r="D708" s="10" t="s">
        <v>70</v>
      </c>
      <c r="E708" s="11">
        <v>1</v>
      </c>
      <c r="F708" s="1"/>
      <c r="G708" s="12">
        <f>E708*F708</f>
        <v>0</v>
      </c>
      <c r="M708" s="1">
        <f>25000/N599</f>
        <v>26881.720430107525</v>
      </c>
      <c r="N708" s="39"/>
    </row>
    <row r="709" spans="1:14" x14ac:dyDescent="0.3">
      <c r="A709" s="21"/>
      <c r="B709" s="9"/>
      <c r="C709" s="13" t="s">
        <v>246</v>
      </c>
      <c r="N709" s="39"/>
    </row>
    <row r="710" spans="1:14" x14ac:dyDescent="0.3">
      <c r="A710" s="21"/>
      <c r="B710" s="9">
        <f>B708+1</f>
        <v>115</v>
      </c>
      <c r="C710" t="s">
        <v>247</v>
      </c>
      <c r="D710" s="10" t="s">
        <v>70</v>
      </c>
      <c r="E710" s="11">
        <v>1</v>
      </c>
      <c r="F710" s="1"/>
      <c r="G710" s="12">
        <f>E710*F710</f>
        <v>0</v>
      </c>
      <c r="M710" s="1">
        <f>20000/N599</f>
        <v>21505.37634408602</v>
      </c>
      <c r="N710" s="39"/>
    </row>
    <row r="711" spans="1:14" x14ac:dyDescent="0.3">
      <c r="A711" s="21"/>
      <c r="B711" s="9"/>
      <c r="C711" s="13" t="s">
        <v>248</v>
      </c>
      <c r="N711" s="39"/>
    </row>
    <row r="712" spans="1:14" x14ac:dyDescent="0.3">
      <c r="A712" s="21"/>
      <c r="B712" s="9">
        <f>B710+1</f>
        <v>116</v>
      </c>
      <c r="C712" s="15" t="s">
        <v>346</v>
      </c>
      <c r="D712" s="10" t="s">
        <v>70</v>
      </c>
      <c r="E712" s="11">
        <v>1</v>
      </c>
      <c r="F712" s="1"/>
      <c r="G712" s="12">
        <f>E712*F712</f>
        <v>0</v>
      </c>
      <c r="M712" s="1">
        <f>4000/N599</f>
        <v>4301.0752688172042</v>
      </c>
      <c r="N712" s="39"/>
    </row>
    <row r="713" spans="1:14" x14ac:dyDescent="0.3">
      <c r="A713" s="21"/>
      <c r="B713" s="3" t="s">
        <v>227</v>
      </c>
      <c r="C713" s="4" t="s">
        <v>228</v>
      </c>
      <c r="D713" s="5"/>
      <c r="E713" s="6"/>
      <c r="F713" s="7"/>
      <c r="G713" s="8">
        <f>SUM(G714:G718)</f>
        <v>0</v>
      </c>
      <c r="N713" s="39"/>
    </row>
    <row r="714" spans="1:14" x14ac:dyDescent="0.3">
      <c r="A714" s="21"/>
      <c r="B714" s="9">
        <f>B712+1</f>
        <v>117</v>
      </c>
      <c r="C714" t="s">
        <v>229</v>
      </c>
      <c r="D714" s="10" t="s">
        <v>70</v>
      </c>
      <c r="E714" s="11">
        <v>1</v>
      </c>
      <c r="F714" s="1"/>
      <c r="G714" s="12">
        <f>E714*F714</f>
        <v>0</v>
      </c>
      <c r="M714" s="1">
        <f>30000/N599</f>
        <v>32258.06451612903</v>
      </c>
      <c r="N714" s="39"/>
    </row>
    <row r="715" spans="1:14" ht="28.8" x14ac:dyDescent="0.3">
      <c r="A715" s="21"/>
      <c r="B715" s="9"/>
      <c r="C715" s="13" t="s">
        <v>272</v>
      </c>
      <c r="N715" s="39"/>
    </row>
    <row r="716" spans="1:14" x14ac:dyDescent="0.3">
      <c r="A716" s="21"/>
      <c r="B716" s="9">
        <f>B714+1</f>
        <v>118</v>
      </c>
      <c r="C716" t="s">
        <v>230</v>
      </c>
      <c r="D716" s="10" t="s">
        <v>70</v>
      </c>
      <c r="E716" s="11">
        <v>1</v>
      </c>
      <c r="F716" s="1"/>
      <c r="G716" s="12">
        <f>E716*F716</f>
        <v>0</v>
      </c>
      <c r="M716" s="1">
        <f>40000/N599</f>
        <v>43010.752688172041</v>
      </c>
      <c r="N716" s="39"/>
    </row>
    <row r="717" spans="1:14" x14ac:dyDescent="0.3">
      <c r="A717" s="21"/>
      <c r="B717" s="9"/>
      <c r="C717" s="13" t="s">
        <v>273</v>
      </c>
      <c r="N717" s="39"/>
    </row>
    <row r="718" spans="1:14" x14ac:dyDescent="0.3">
      <c r="A718" s="21"/>
      <c r="B718" s="9">
        <f>B716+1</f>
        <v>119</v>
      </c>
      <c r="C718" s="15" t="s">
        <v>347</v>
      </c>
      <c r="D718" s="10" t="s">
        <v>70</v>
      </c>
      <c r="E718" s="11">
        <v>1</v>
      </c>
      <c r="F718" s="1"/>
      <c r="G718" s="12">
        <f>E718*F718</f>
        <v>0</v>
      </c>
      <c r="M718" s="1">
        <f>4000/N599</f>
        <v>4301.0752688172042</v>
      </c>
      <c r="N718" s="39"/>
    </row>
    <row r="719" spans="1:14" x14ac:dyDescent="0.3">
      <c r="A719" s="21"/>
      <c r="B719" s="3" t="s">
        <v>231</v>
      </c>
      <c r="C719" s="4" t="s">
        <v>232</v>
      </c>
      <c r="D719" s="5"/>
      <c r="E719" s="6"/>
      <c r="F719" s="7"/>
      <c r="G719" s="8">
        <f>SUM(G720:G728)</f>
        <v>0</v>
      </c>
    </row>
    <row r="720" spans="1:14" x14ac:dyDescent="0.3">
      <c r="A720" s="21"/>
      <c r="B720" s="9">
        <f>B718+1</f>
        <v>120</v>
      </c>
      <c r="C720" t="s">
        <v>233</v>
      </c>
      <c r="D720" s="10" t="s">
        <v>30</v>
      </c>
      <c r="E720" s="11">
        <f>SUM(E721)</f>
        <v>4</v>
      </c>
      <c r="F720" s="1"/>
      <c r="G720" s="12">
        <f>E720*F720</f>
        <v>0</v>
      </c>
      <c r="M720" s="1">
        <f>600/N599</f>
        <v>645.16129032258061</v>
      </c>
    </row>
    <row r="721" spans="1:14" x14ac:dyDescent="0.3">
      <c r="A721" s="21"/>
      <c r="B721" s="9"/>
      <c r="C721" s="14" t="s">
        <v>265</v>
      </c>
      <c r="E721" s="14">
        <v>4</v>
      </c>
    </row>
    <row r="722" spans="1:14" x14ac:dyDescent="0.3">
      <c r="A722" s="21"/>
      <c r="B722" s="9">
        <f>B720+1</f>
        <v>121</v>
      </c>
      <c r="C722" t="s">
        <v>267</v>
      </c>
      <c r="D722" s="10" t="s">
        <v>30</v>
      </c>
      <c r="E722" s="11">
        <f>SUM(E723)</f>
        <v>4</v>
      </c>
      <c r="F722" s="1"/>
      <c r="G722" s="12">
        <f>E722*F722</f>
        <v>0</v>
      </c>
      <c r="M722" s="1">
        <f>800/N599</f>
        <v>860.21505376344078</v>
      </c>
    </row>
    <row r="723" spans="1:14" x14ac:dyDescent="0.3">
      <c r="A723" s="21"/>
      <c r="B723" s="9"/>
      <c r="C723" s="14" t="s">
        <v>266</v>
      </c>
      <c r="E723" s="14">
        <v>4</v>
      </c>
    </row>
    <row r="724" spans="1:14" x14ac:dyDescent="0.3">
      <c r="A724" s="21"/>
      <c r="B724" s="9">
        <f>B722+1</f>
        <v>122</v>
      </c>
      <c r="C724" t="s">
        <v>268</v>
      </c>
      <c r="D724" s="10" t="s">
        <v>70</v>
      </c>
      <c r="E724" s="11">
        <v>4</v>
      </c>
      <c r="F724" s="1"/>
      <c r="G724" s="12">
        <f>E724*F724</f>
        <v>0</v>
      </c>
      <c r="K724" s="38">
        <f>500+2000+2000+3*550</f>
        <v>6150</v>
      </c>
      <c r="M724" s="1">
        <f>5800/N599</f>
        <v>6236.5591397849457</v>
      </c>
    </row>
    <row r="725" spans="1:14" ht="28.8" x14ac:dyDescent="0.3">
      <c r="A725" s="21"/>
      <c r="B725" s="9"/>
      <c r="C725" s="13" t="s">
        <v>269</v>
      </c>
    </row>
    <row r="726" spans="1:14" x14ac:dyDescent="0.3">
      <c r="A726" s="21"/>
      <c r="B726" s="9">
        <f>B724+1</f>
        <v>123</v>
      </c>
      <c r="C726" t="s">
        <v>270</v>
      </c>
      <c r="D726" s="10" t="s">
        <v>70</v>
      </c>
      <c r="E726" s="11">
        <v>4</v>
      </c>
      <c r="F726" s="1"/>
      <c r="G726" s="12">
        <f>E726*F726</f>
        <v>0</v>
      </c>
      <c r="M726" s="1">
        <f>7900/N599</f>
        <v>8494.6236559139779</v>
      </c>
    </row>
    <row r="727" spans="1:14" x14ac:dyDescent="0.3">
      <c r="A727" s="21"/>
      <c r="B727" s="9"/>
      <c r="C727" s="13" t="s">
        <v>271</v>
      </c>
    </row>
    <row r="728" spans="1:14" x14ac:dyDescent="0.3">
      <c r="A728" s="21"/>
      <c r="B728" s="9">
        <f>B726+1</f>
        <v>124</v>
      </c>
      <c r="C728" s="15" t="s">
        <v>348</v>
      </c>
      <c r="D728" s="10" t="s">
        <v>70</v>
      </c>
      <c r="E728" s="11">
        <v>1</v>
      </c>
      <c r="F728" s="1"/>
      <c r="G728" s="12">
        <f>E728*F728</f>
        <v>0</v>
      </c>
      <c r="M728" s="1">
        <f>10000/N599</f>
        <v>10752.68817204301</v>
      </c>
      <c r="N728" s="39"/>
    </row>
    <row r="729" spans="1:14" x14ac:dyDescent="0.3">
      <c r="A729" s="21"/>
      <c r="B729" s="3" t="s">
        <v>304</v>
      </c>
      <c r="C729" s="4" t="s">
        <v>305</v>
      </c>
      <c r="D729" s="5"/>
      <c r="E729" s="6"/>
      <c r="F729" s="7"/>
      <c r="G729" s="8">
        <f>SUM(G730:G739)</f>
        <v>0</v>
      </c>
    </row>
    <row r="730" spans="1:14" x14ac:dyDescent="0.3">
      <c r="A730" s="21"/>
      <c r="B730" s="9">
        <f>B728+1</f>
        <v>125</v>
      </c>
      <c r="C730" s="15" t="s">
        <v>450</v>
      </c>
      <c r="D730" s="10" t="s">
        <v>30</v>
      </c>
      <c r="E730" s="11">
        <f>SUM(E733:E734)</f>
        <v>3</v>
      </c>
      <c r="F730" s="1"/>
      <c r="G730" s="12">
        <f>E730*F730</f>
        <v>0</v>
      </c>
      <c r="H730" s="12">
        <f>G730</f>
        <v>0</v>
      </c>
      <c r="I730" s="12"/>
      <c r="M730" s="1">
        <f>1350/N599</f>
        <v>1451.6129032258063</v>
      </c>
    </row>
    <row r="731" spans="1:14" x14ac:dyDescent="0.3">
      <c r="A731" s="21"/>
      <c r="B731" s="9"/>
      <c r="C731" s="13" t="s">
        <v>306</v>
      </c>
      <c r="G731" s="12"/>
    </row>
    <row r="732" spans="1:14" x14ac:dyDescent="0.3">
      <c r="A732" s="21"/>
      <c r="B732" s="9"/>
      <c r="C732" s="14" t="s">
        <v>50</v>
      </c>
      <c r="E732" s="14"/>
      <c r="F732" s="12"/>
      <c r="G732" s="12"/>
      <c r="M732" s="12"/>
    </row>
    <row r="733" spans="1:14" x14ac:dyDescent="0.3">
      <c r="A733" s="21"/>
      <c r="B733" s="9"/>
      <c r="C733" s="14" t="s">
        <v>307</v>
      </c>
      <c r="E733" s="14">
        <v>1</v>
      </c>
      <c r="F733" s="12"/>
      <c r="G733" s="12"/>
      <c r="M733" s="12"/>
    </row>
    <row r="734" spans="1:14" x14ac:dyDescent="0.3">
      <c r="A734" s="21"/>
      <c r="B734" s="9"/>
      <c r="C734" s="14" t="s">
        <v>308</v>
      </c>
      <c r="E734" s="14">
        <v>2</v>
      </c>
      <c r="F734" s="12"/>
      <c r="G734" s="12"/>
      <c r="M734" s="12"/>
    </row>
    <row r="735" spans="1:14" x14ac:dyDescent="0.3">
      <c r="A735" s="21"/>
      <c r="B735" s="9">
        <f>B730+1</f>
        <v>126</v>
      </c>
      <c r="C735" s="15" t="s">
        <v>309</v>
      </c>
      <c r="D735" s="10" t="s">
        <v>30</v>
      </c>
      <c r="E735" s="11">
        <f>SUM(E737:E738)</f>
        <v>3</v>
      </c>
      <c r="F735" s="1"/>
      <c r="G735" s="12">
        <f>E735*F735</f>
        <v>0</v>
      </c>
      <c r="H735" s="12">
        <f>G735</f>
        <v>0</v>
      </c>
      <c r="I735" s="12"/>
      <c r="M735" s="1">
        <f>19500/N599</f>
        <v>20967.741935483871</v>
      </c>
    </row>
    <row r="736" spans="1:14" x14ac:dyDescent="0.3">
      <c r="A736" s="21"/>
      <c r="B736" s="9"/>
      <c r="C736" s="14" t="s">
        <v>50</v>
      </c>
      <c r="E736" s="14"/>
      <c r="F736" s="12"/>
      <c r="G736" s="12"/>
      <c r="M736" s="12"/>
    </row>
    <row r="737" spans="1:13" x14ac:dyDescent="0.3">
      <c r="A737" s="21"/>
      <c r="B737" s="9"/>
      <c r="C737" s="14" t="s">
        <v>307</v>
      </c>
      <c r="E737" s="14">
        <v>1</v>
      </c>
      <c r="F737" s="12"/>
      <c r="G737" s="12"/>
      <c r="M737" s="12"/>
    </row>
    <row r="738" spans="1:13" x14ac:dyDescent="0.3">
      <c r="A738" s="21"/>
      <c r="B738" s="9"/>
      <c r="C738" s="14" t="s">
        <v>308</v>
      </c>
      <c r="E738" s="14">
        <v>2</v>
      </c>
      <c r="F738" s="12"/>
      <c r="G738" s="12"/>
      <c r="M738" s="12"/>
    </row>
    <row r="739" spans="1:13" x14ac:dyDescent="0.3">
      <c r="A739" s="21"/>
      <c r="B739" s="9">
        <f>B735+1</f>
        <v>127</v>
      </c>
      <c r="C739" s="15" t="s">
        <v>356</v>
      </c>
      <c r="D739" s="10" t="s">
        <v>70</v>
      </c>
      <c r="E739" s="11">
        <v>1</v>
      </c>
      <c r="F739" s="1"/>
      <c r="G739" s="12">
        <f>E739*F739</f>
        <v>0</v>
      </c>
      <c r="H739" s="12">
        <f>G739</f>
        <v>0</v>
      </c>
      <c r="I739" s="12"/>
      <c r="M739" s="1">
        <f>5000/N599</f>
        <v>5376.3440860215051</v>
      </c>
    </row>
    <row r="740" spans="1:13" x14ac:dyDescent="0.3">
      <c r="A740" s="21"/>
      <c r="B740" s="3" t="s">
        <v>62</v>
      </c>
      <c r="C740" s="4" t="s">
        <v>63</v>
      </c>
      <c r="D740" s="5"/>
      <c r="E740" s="6"/>
      <c r="F740" s="7"/>
      <c r="G740" s="8">
        <f>SUM(G741:G757)</f>
        <v>0</v>
      </c>
    </row>
    <row r="741" spans="1:13" x14ac:dyDescent="0.3">
      <c r="A741" s="21"/>
      <c r="B741" s="9">
        <f>B739+1</f>
        <v>128</v>
      </c>
      <c r="C741" s="15" t="s">
        <v>264</v>
      </c>
      <c r="D741" s="10" t="s">
        <v>30</v>
      </c>
      <c r="E741" s="11">
        <f>SUM(E742:E744)</f>
        <v>8</v>
      </c>
      <c r="F741" s="1"/>
      <c r="G741" s="12">
        <f>E741*F741</f>
        <v>0</v>
      </c>
      <c r="M741" s="1">
        <f>300/N599</f>
        <v>322.58064516129031</v>
      </c>
    </row>
    <row r="742" spans="1:13" x14ac:dyDescent="0.3">
      <c r="A742" s="21"/>
      <c r="B742" s="9"/>
      <c r="C742" s="14" t="s">
        <v>50</v>
      </c>
      <c r="E742" s="14"/>
      <c r="F742" s="12"/>
      <c r="G742" s="12"/>
      <c r="M742" s="12"/>
    </row>
    <row r="743" spans="1:13" x14ac:dyDescent="0.3">
      <c r="A743" s="21"/>
      <c r="B743" s="9"/>
      <c r="C743" s="14" t="s">
        <v>265</v>
      </c>
      <c r="E743" s="14">
        <v>4</v>
      </c>
      <c r="F743" s="12"/>
      <c r="G743" s="12"/>
      <c r="M743" s="12"/>
    </row>
    <row r="744" spans="1:13" x14ac:dyDescent="0.3">
      <c r="A744" s="21"/>
      <c r="B744" s="9"/>
      <c r="C744" s="14" t="s">
        <v>266</v>
      </c>
      <c r="E744" s="14">
        <v>4</v>
      </c>
      <c r="F744" s="12"/>
      <c r="G744" s="12"/>
      <c r="M744" s="12"/>
    </row>
    <row r="745" spans="1:13" x14ac:dyDescent="0.3">
      <c r="A745" s="21"/>
      <c r="B745" s="9">
        <f>B741+1</f>
        <v>129</v>
      </c>
      <c r="C745" s="15" t="s">
        <v>68</v>
      </c>
      <c r="D745" s="10" t="s">
        <v>30</v>
      </c>
      <c r="E745" s="11">
        <f>SUM(E747:E748)</f>
        <v>8</v>
      </c>
      <c r="F745" s="1"/>
      <c r="G745" s="12">
        <f>E745*F745</f>
        <v>0</v>
      </c>
      <c r="M745" s="1">
        <f>420/N599</f>
        <v>451.61290322580641</v>
      </c>
    </row>
    <row r="746" spans="1:13" x14ac:dyDescent="0.3">
      <c r="A746" s="21"/>
      <c r="B746" s="9"/>
      <c r="C746" s="14" t="s">
        <v>66</v>
      </c>
      <c r="F746" s="12"/>
      <c r="G746" s="12"/>
      <c r="M746" s="12"/>
    </row>
    <row r="747" spans="1:13" x14ac:dyDescent="0.3">
      <c r="A747" s="21"/>
      <c r="B747" s="9"/>
      <c r="C747" s="14" t="s">
        <v>265</v>
      </c>
      <c r="E747" s="14">
        <v>4</v>
      </c>
      <c r="F747" s="12"/>
      <c r="G747" s="12"/>
      <c r="M747" s="12"/>
    </row>
    <row r="748" spans="1:13" x14ac:dyDescent="0.3">
      <c r="A748" s="21"/>
      <c r="B748" s="9"/>
      <c r="C748" s="14" t="s">
        <v>266</v>
      </c>
      <c r="E748" s="14">
        <v>4</v>
      </c>
      <c r="F748" s="12"/>
      <c r="G748" s="12"/>
      <c r="M748" s="12"/>
    </row>
    <row r="749" spans="1:13" x14ac:dyDescent="0.3">
      <c r="A749" s="21"/>
      <c r="B749" s="9">
        <f>B745+1</f>
        <v>130</v>
      </c>
      <c r="C749" s="15" t="s">
        <v>329</v>
      </c>
      <c r="D749" s="10" t="s">
        <v>30</v>
      </c>
      <c r="E749" s="11">
        <f>SUM(E751:E752)</f>
        <v>8</v>
      </c>
      <c r="F749" s="1"/>
      <c r="G749" s="12">
        <f>E749*F749</f>
        <v>0</v>
      </c>
      <c r="M749" s="1">
        <f>600/N599</f>
        <v>645.16129032258061</v>
      </c>
    </row>
    <row r="750" spans="1:13" x14ac:dyDescent="0.3">
      <c r="A750" s="21"/>
      <c r="B750" s="9"/>
      <c r="C750" s="14" t="s">
        <v>66</v>
      </c>
      <c r="F750" s="12"/>
      <c r="G750" s="12"/>
      <c r="M750" s="12"/>
    </row>
    <row r="751" spans="1:13" x14ac:dyDescent="0.3">
      <c r="A751" s="21"/>
      <c r="B751" s="9"/>
      <c r="C751" s="14" t="s">
        <v>265</v>
      </c>
      <c r="E751" s="14">
        <v>4</v>
      </c>
      <c r="F751" s="12"/>
      <c r="G751" s="12"/>
      <c r="M751" s="12"/>
    </row>
    <row r="752" spans="1:13" x14ac:dyDescent="0.3">
      <c r="A752" s="21"/>
      <c r="B752" s="9"/>
      <c r="C752" s="14" t="s">
        <v>266</v>
      </c>
      <c r="E752" s="14">
        <v>4</v>
      </c>
      <c r="F752" s="12"/>
      <c r="G752" s="12"/>
      <c r="M752" s="12"/>
    </row>
    <row r="753" spans="1:13" x14ac:dyDescent="0.3">
      <c r="A753" s="21"/>
      <c r="B753" s="9">
        <f>B749+1</f>
        <v>131</v>
      </c>
      <c r="C753" s="15" t="s">
        <v>333</v>
      </c>
      <c r="D753" s="10" t="s">
        <v>30</v>
      </c>
      <c r="E753" s="11">
        <f>SUM(E755:E756)</f>
        <v>8</v>
      </c>
      <c r="F753" s="1"/>
      <c r="G753" s="12">
        <f>E753*F753</f>
        <v>0</v>
      </c>
      <c r="M753" s="1">
        <f>1600/N599</f>
        <v>1720.4301075268816</v>
      </c>
    </row>
    <row r="754" spans="1:13" x14ac:dyDescent="0.3">
      <c r="A754" s="21"/>
      <c r="B754" s="9"/>
      <c r="C754" s="14" t="s">
        <v>66</v>
      </c>
      <c r="F754" s="12"/>
      <c r="G754" s="12"/>
      <c r="M754" s="12"/>
    </row>
    <row r="755" spans="1:13" x14ac:dyDescent="0.3">
      <c r="A755" s="21"/>
      <c r="B755" s="9"/>
      <c r="C755" s="14" t="s">
        <v>265</v>
      </c>
      <c r="E755" s="14">
        <v>4</v>
      </c>
      <c r="F755" s="12"/>
      <c r="G755" s="12"/>
      <c r="M755" s="12"/>
    </row>
    <row r="756" spans="1:13" x14ac:dyDescent="0.3">
      <c r="A756" s="21"/>
      <c r="B756" s="9"/>
      <c r="C756" s="14" t="s">
        <v>266</v>
      </c>
      <c r="E756" s="14">
        <v>4</v>
      </c>
      <c r="F756" s="12"/>
      <c r="G756" s="12"/>
      <c r="M756" s="12"/>
    </row>
    <row r="757" spans="1:13" x14ac:dyDescent="0.3">
      <c r="A757" s="21"/>
      <c r="B757" s="9">
        <f>B753+1</f>
        <v>132</v>
      </c>
      <c r="C757" s="15" t="s">
        <v>357</v>
      </c>
      <c r="D757" s="10" t="s">
        <v>70</v>
      </c>
      <c r="E757" s="11">
        <v>1</v>
      </c>
      <c r="F757" s="1"/>
      <c r="G757" s="12">
        <f>E757*F757</f>
        <v>0</v>
      </c>
      <c r="M757" s="1">
        <f>10000/N599</f>
        <v>10752.68817204301</v>
      </c>
    </row>
    <row r="758" spans="1:13" x14ac:dyDescent="0.3">
      <c r="A758" s="21"/>
      <c r="B758" s="3" t="s">
        <v>79</v>
      </c>
      <c r="C758" s="4" t="s">
        <v>80</v>
      </c>
      <c r="D758" s="5"/>
      <c r="E758" s="6"/>
      <c r="F758" s="7"/>
      <c r="G758" s="8">
        <f>SUM(G759:G779)</f>
        <v>0</v>
      </c>
    </row>
    <row r="759" spans="1:13" ht="16.2" x14ac:dyDescent="0.3">
      <c r="A759" s="21"/>
      <c r="B759" s="9">
        <f>B757+1</f>
        <v>133</v>
      </c>
      <c r="C759" s="15" t="s">
        <v>81</v>
      </c>
      <c r="D759" s="10" t="s">
        <v>36</v>
      </c>
      <c r="E759" s="11">
        <f>SUM(E761:E762)</f>
        <v>224.48999999999998</v>
      </c>
      <c r="F759" s="1"/>
      <c r="G759" s="12">
        <f>E759*F759</f>
        <v>0</v>
      </c>
      <c r="K759" s="38">
        <f>40*1.3</f>
        <v>52</v>
      </c>
      <c r="M759" s="1">
        <f>65/N599</f>
        <v>69.892473118279568</v>
      </c>
    </row>
    <row r="760" spans="1:13" x14ac:dyDescent="0.3">
      <c r="A760" s="21"/>
      <c r="B760" s="9"/>
      <c r="C760" s="14" t="s">
        <v>50</v>
      </c>
      <c r="E760" s="14"/>
      <c r="F760" s="12"/>
      <c r="G760" s="12"/>
      <c r="M760" s="12"/>
    </row>
    <row r="761" spans="1:13" x14ac:dyDescent="0.3">
      <c r="A761" s="21"/>
      <c r="B761" s="9"/>
      <c r="C761" s="14" t="s">
        <v>298</v>
      </c>
      <c r="E761" s="14">
        <f xml:space="preserve"> 52.45+13.12+27.49+54.79</f>
        <v>147.85</v>
      </c>
      <c r="F761" s="12"/>
      <c r="G761" s="12"/>
      <c r="M761" s="12"/>
    </row>
    <row r="762" spans="1:13" x14ac:dyDescent="0.3">
      <c r="A762" s="21"/>
      <c r="B762" s="9"/>
      <c r="C762" s="14" t="s">
        <v>299</v>
      </c>
      <c r="E762" s="14">
        <f xml:space="preserve"> 12.29+64.35</f>
        <v>76.639999999999986</v>
      </c>
      <c r="F762" s="12"/>
      <c r="G762" s="12"/>
      <c r="M762" s="12"/>
    </row>
    <row r="763" spans="1:13" x14ac:dyDescent="0.3">
      <c r="A763" s="21"/>
      <c r="B763" s="9">
        <f>B759+1</f>
        <v>134</v>
      </c>
      <c r="C763" s="15" t="s">
        <v>94</v>
      </c>
      <c r="D763" s="10" t="s">
        <v>300</v>
      </c>
      <c r="E763" s="11">
        <f>SUM(E765:E766)</f>
        <v>150.88</v>
      </c>
      <c r="F763" s="1"/>
      <c r="G763" s="12">
        <f>E763*F763</f>
        <v>0</v>
      </c>
      <c r="M763" s="1">
        <f>25/N599</f>
        <v>26.881720430107524</v>
      </c>
    </row>
    <row r="764" spans="1:13" x14ac:dyDescent="0.3">
      <c r="A764" s="21"/>
      <c r="B764" s="9"/>
      <c r="C764" s="14" t="s">
        <v>50</v>
      </c>
      <c r="E764" s="14"/>
      <c r="F764" s="12"/>
      <c r="G764" s="12"/>
      <c r="M764" s="12"/>
    </row>
    <row r="765" spans="1:13" x14ac:dyDescent="0.3">
      <c r="A765" s="21"/>
      <c r="B765" s="9"/>
      <c r="C765" s="14" t="s">
        <v>301</v>
      </c>
      <c r="E765" s="14">
        <f xml:space="preserve"> 31.62+16.56+21.66+30.9</f>
        <v>100.74000000000001</v>
      </c>
      <c r="F765" s="12"/>
      <c r="G765" s="12"/>
      <c r="M765" s="12"/>
    </row>
    <row r="766" spans="1:13" x14ac:dyDescent="0.3">
      <c r="A766" s="21"/>
      <c r="B766" s="9"/>
      <c r="C766" s="14" t="s">
        <v>302</v>
      </c>
      <c r="E766" s="14">
        <f xml:space="preserve"> 15.9+34.24</f>
        <v>50.14</v>
      </c>
      <c r="F766" s="12"/>
      <c r="G766" s="12"/>
      <c r="M766" s="12"/>
    </row>
    <row r="767" spans="1:13" ht="16.2" x14ac:dyDescent="0.3">
      <c r="A767" s="21"/>
      <c r="B767" s="9">
        <f>B763+1</f>
        <v>135</v>
      </c>
      <c r="C767" s="15" t="s">
        <v>95</v>
      </c>
      <c r="D767" s="10" t="s">
        <v>36</v>
      </c>
      <c r="E767" s="11">
        <f>SUM(E769:E770)</f>
        <v>224.48999999999998</v>
      </c>
      <c r="F767" s="1"/>
      <c r="G767" s="12">
        <f>E767*F767</f>
        <v>0</v>
      </c>
      <c r="M767" s="1">
        <f>250/N599</f>
        <v>268.81720430107526</v>
      </c>
    </row>
    <row r="768" spans="1:13" x14ac:dyDescent="0.3">
      <c r="A768" s="21"/>
      <c r="B768" s="9"/>
      <c r="C768" s="14" t="s">
        <v>50</v>
      </c>
      <c r="E768" s="14"/>
      <c r="F768" s="12"/>
      <c r="G768" s="12"/>
      <c r="M768" s="12"/>
    </row>
    <row r="769" spans="1:13" x14ac:dyDescent="0.3">
      <c r="A769" s="21"/>
      <c r="B769" s="9"/>
      <c r="C769" s="14" t="s">
        <v>298</v>
      </c>
      <c r="E769" s="14">
        <f xml:space="preserve"> 52.45+13.12+27.49+54.79</f>
        <v>147.85</v>
      </c>
      <c r="F769" s="12"/>
      <c r="G769" s="12"/>
      <c r="M769" s="12"/>
    </row>
    <row r="770" spans="1:13" x14ac:dyDescent="0.3">
      <c r="A770" s="21"/>
      <c r="B770" s="9"/>
      <c r="C770" s="14" t="s">
        <v>299</v>
      </c>
      <c r="E770" s="14">
        <f xml:space="preserve"> 12.29+64.35</f>
        <v>76.639999999999986</v>
      </c>
      <c r="F770" s="12"/>
      <c r="G770" s="12"/>
      <c r="M770" s="12"/>
    </row>
    <row r="771" spans="1:13" ht="16.2" x14ac:dyDescent="0.3">
      <c r="A771" s="21"/>
      <c r="B771" s="9">
        <f>B767+1</f>
        <v>136</v>
      </c>
      <c r="C771" s="15" t="s">
        <v>98</v>
      </c>
      <c r="D771" s="10" t="s">
        <v>36</v>
      </c>
      <c r="E771" s="11">
        <f>SUM(E773)</f>
        <v>235.72</v>
      </c>
      <c r="F771" s="1"/>
      <c r="G771" s="12">
        <f>E771*F771</f>
        <v>0</v>
      </c>
      <c r="M771" s="1">
        <f>1150/N599</f>
        <v>1236.5591397849462</v>
      </c>
    </row>
    <row r="772" spans="1:13" x14ac:dyDescent="0.3">
      <c r="A772" s="21"/>
      <c r="B772"/>
      <c r="C772" s="14" t="s">
        <v>50</v>
      </c>
      <c r="E772" s="14"/>
    </row>
    <row r="773" spans="1:13" ht="16.2" x14ac:dyDescent="0.3">
      <c r="A773" s="21"/>
      <c r="B773"/>
      <c r="C773" s="14" t="s">
        <v>303</v>
      </c>
      <c r="E773" s="14">
        <v>235.72</v>
      </c>
    </row>
    <row r="774" spans="1:13" x14ac:dyDescent="0.3">
      <c r="A774" s="21"/>
      <c r="B774" s="9">
        <f>B771+1</f>
        <v>137</v>
      </c>
      <c r="C774" s="15" t="s">
        <v>99</v>
      </c>
      <c r="D774" s="10" t="s">
        <v>17</v>
      </c>
      <c r="E774" s="11">
        <f>SUM(E777:E778)</f>
        <v>150.88</v>
      </c>
      <c r="F774" s="1"/>
      <c r="G774" s="12">
        <f>E774*F774</f>
        <v>0</v>
      </c>
      <c r="M774" s="1">
        <f>250/N599</f>
        <v>268.81720430107526</v>
      </c>
    </row>
    <row r="775" spans="1:13" x14ac:dyDescent="0.3">
      <c r="A775" s="21"/>
      <c r="C775" s="13" t="s">
        <v>100</v>
      </c>
    </row>
    <row r="776" spans="1:13" x14ac:dyDescent="0.3">
      <c r="A776" s="21"/>
      <c r="B776" s="9"/>
      <c r="C776" s="14" t="s">
        <v>50</v>
      </c>
      <c r="E776" s="14"/>
      <c r="F776" s="12"/>
      <c r="G776" s="12"/>
      <c r="M776" s="12"/>
    </row>
    <row r="777" spans="1:13" x14ac:dyDescent="0.3">
      <c r="A777" s="21"/>
      <c r="B777" s="9"/>
      <c r="C777" s="14" t="s">
        <v>301</v>
      </c>
      <c r="E777" s="14">
        <f xml:space="preserve"> 31.62+16.56+21.66+30.9</f>
        <v>100.74000000000001</v>
      </c>
      <c r="F777" s="12"/>
      <c r="G777" s="12"/>
      <c r="M777" s="12"/>
    </row>
    <row r="778" spans="1:13" x14ac:dyDescent="0.3">
      <c r="A778" s="21"/>
      <c r="B778" s="9"/>
      <c r="C778" s="14" t="s">
        <v>302</v>
      </c>
      <c r="E778" s="14">
        <f xml:space="preserve"> 15.9+34.24</f>
        <v>50.14</v>
      </c>
      <c r="F778" s="12"/>
      <c r="G778" s="12"/>
      <c r="M778" s="12"/>
    </row>
    <row r="779" spans="1:13" x14ac:dyDescent="0.3">
      <c r="A779" s="21"/>
      <c r="B779" s="9">
        <f>B774+1</f>
        <v>138</v>
      </c>
      <c r="C779" s="15" t="s">
        <v>352</v>
      </c>
      <c r="D779" s="10" t="s">
        <v>70</v>
      </c>
      <c r="E779" s="11">
        <v>1</v>
      </c>
      <c r="F779" s="1"/>
      <c r="G779" s="12">
        <f>E779*F779</f>
        <v>0</v>
      </c>
      <c r="M779" s="1">
        <f>8000/N599</f>
        <v>8602.1505376344085</v>
      </c>
    </row>
    <row r="780" spans="1:13" x14ac:dyDescent="0.3">
      <c r="A780" s="21"/>
      <c r="B780" s="3" t="s">
        <v>71</v>
      </c>
      <c r="C780" s="4" t="s">
        <v>72</v>
      </c>
      <c r="D780" s="5"/>
      <c r="E780" s="6"/>
      <c r="F780" s="7"/>
      <c r="G780" s="8">
        <f>SUM(G781:G796)</f>
        <v>0</v>
      </c>
    </row>
    <row r="781" spans="1:13" ht="16.2" x14ac:dyDescent="0.3">
      <c r="A781" s="21"/>
      <c r="B781" s="9">
        <f>B779+1</f>
        <v>139</v>
      </c>
      <c r="C781" s="15" t="s">
        <v>73</v>
      </c>
      <c r="D781" s="10" t="s">
        <v>36</v>
      </c>
      <c r="E781" s="11">
        <f>SUM(E782:E786)</f>
        <v>4</v>
      </c>
      <c r="F781" s="1"/>
      <c r="G781" s="12">
        <f>E781*F781</f>
        <v>0</v>
      </c>
      <c r="K781" s="38">
        <f>260*1.3</f>
        <v>338</v>
      </c>
      <c r="M781" s="1">
        <f>340/N599</f>
        <v>365.59139784946234</v>
      </c>
    </row>
    <row r="782" spans="1:13" x14ac:dyDescent="0.3">
      <c r="A782" s="21"/>
      <c r="B782" s="9"/>
      <c r="C782" s="14" t="s">
        <v>50</v>
      </c>
      <c r="E782" s="14"/>
      <c r="F782" s="12"/>
      <c r="G782" s="12"/>
      <c r="M782" s="12"/>
    </row>
    <row r="783" spans="1:13" ht="16.2" x14ac:dyDescent="0.3">
      <c r="A783" s="21"/>
      <c r="B783" s="9"/>
      <c r="C783" s="14" t="s">
        <v>293</v>
      </c>
      <c r="E783" s="14">
        <v>1</v>
      </c>
      <c r="F783" s="12"/>
      <c r="G783" s="12"/>
      <c r="M783" s="12"/>
    </row>
    <row r="784" spans="1:13" ht="16.2" x14ac:dyDescent="0.3">
      <c r="A784" s="21"/>
      <c r="B784" s="9"/>
      <c r="C784" s="14" t="s">
        <v>294</v>
      </c>
      <c r="E784" s="14">
        <v>1</v>
      </c>
      <c r="F784" s="12"/>
      <c r="G784" s="12"/>
      <c r="M784" s="12"/>
    </row>
    <row r="785" spans="1:13" ht="16.2" x14ac:dyDescent="0.3">
      <c r="A785" s="21"/>
      <c r="B785" s="9"/>
      <c r="C785" s="14" t="s">
        <v>295</v>
      </c>
      <c r="D785"/>
      <c r="E785" s="14">
        <v>1</v>
      </c>
      <c r="F785" s="12"/>
      <c r="G785" s="12"/>
      <c r="M785" s="12"/>
    </row>
    <row r="786" spans="1:13" ht="16.2" x14ac:dyDescent="0.3">
      <c r="A786" s="21"/>
      <c r="B786" s="9"/>
      <c r="C786" s="14" t="s">
        <v>296</v>
      </c>
      <c r="D786"/>
      <c r="E786" s="14">
        <v>1</v>
      </c>
      <c r="F786" s="12"/>
      <c r="G786" s="12"/>
      <c r="M786" s="12"/>
    </row>
    <row r="787" spans="1:13" ht="16.2" x14ac:dyDescent="0.3">
      <c r="A787" s="21"/>
      <c r="B787" s="9">
        <f>B781+1</f>
        <v>140</v>
      </c>
      <c r="C787" s="15" t="s">
        <v>449</v>
      </c>
      <c r="D787" s="10" t="s">
        <v>36</v>
      </c>
      <c r="E787" s="11">
        <f>SUM(E788:E792)</f>
        <v>4</v>
      </c>
      <c r="F787" s="1"/>
      <c r="G787" s="12">
        <f>E787*F787</f>
        <v>0</v>
      </c>
      <c r="M787" s="1">
        <f>850/N599</f>
        <v>913.97849462365582</v>
      </c>
    </row>
    <row r="788" spans="1:13" x14ac:dyDescent="0.3">
      <c r="A788" s="21"/>
      <c r="B788" s="9"/>
      <c r="C788" s="14" t="s">
        <v>50</v>
      </c>
      <c r="E788" s="14"/>
      <c r="F788" s="12"/>
      <c r="G788" s="12"/>
      <c r="M788" s="12"/>
    </row>
    <row r="789" spans="1:13" ht="16.2" x14ac:dyDescent="0.3">
      <c r="A789" s="21"/>
      <c r="B789" s="9"/>
      <c r="C789" s="14" t="s">
        <v>293</v>
      </c>
      <c r="E789" s="14">
        <v>1</v>
      </c>
      <c r="F789" s="12"/>
      <c r="G789" s="12"/>
      <c r="M789" s="12"/>
    </row>
    <row r="790" spans="1:13" ht="16.2" x14ac:dyDescent="0.3">
      <c r="A790" s="21"/>
      <c r="B790" s="9"/>
      <c r="C790" s="14" t="s">
        <v>294</v>
      </c>
      <c r="E790" s="14">
        <v>1</v>
      </c>
      <c r="F790" s="12"/>
      <c r="G790" s="12"/>
      <c r="M790" s="12"/>
    </row>
    <row r="791" spans="1:13" ht="16.2" x14ac:dyDescent="0.3">
      <c r="A791" s="21"/>
      <c r="B791" s="9"/>
      <c r="C791" s="14" t="s">
        <v>295</v>
      </c>
      <c r="D791"/>
      <c r="E791" s="14">
        <v>1</v>
      </c>
      <c r="F791" s="12"/>
      <c r="G791" s="12"/>
      <c r="M791" s="12"/>
    </row>
    <row r="792" spans="1:13" ht="16.2" x14ac:dyDescent="0.3">
      <c r="A792" s="21"/>
      <c r="B792" s="9"/>
      <c r="C792" s="14" t="s">
        <v>296</v>
      </c>
      <c r="D792"/>
      <c r="E792" s="14">
        <v>1</v>
      </c>
      <c r="F792" s="12"/>
      <c r="G792" s="12"/>
      <c r="M792" s="12"/>
    </row>
    <row r="793" spans="1:13" ht="16.2" x14ac:dyDescent="0.3">
      <c r="A793" s="21"/>
      <c r="B793" s="9">
        <f>B787+1</f>
        <v>141</v>
      </c>
      <c r="C793" s="15" t="s">
        <v>78</v>
      </c>
      <c r="D793" s="10" t="s">
        <v>36</v>
      </c>
      <c r="E793" s="11">
        <f>SUM(E794:E795)</f>
        <v>4.4000000000000004</v>
      </c>
      <c r="F793" s="1"/>
      <c r="G793" s="12">
        <f>E793*F793</f>
        <v>0</v>
      </c>
      <c r="M793" s="1">
        <f>950/N599</f>
        <v>1021.505376344086</v>
      </c>
    </row>
    <row r="794" spans="1:13" x14ac:dyDescent="0.3">
      <c r="A794" s="21"/>
      <c r="B794" s="9"/>
      <c r="C794" s="14" t="s">
        <v>50</v>
      </c>
      <c r="E794" s="14"/>
      <c r="F794" s="12"/>
      <c r="G794" s="12"/>
      <c r="M794" s="12"/>
    </row>
    <row r="795" spans="1:13" ht="16.2" x14ac:dyDescent="0.3">
      <c r="A795" s="21"/>
      <c r="B795" s="9"/>
      <c r="C795" s="14" t="s">
        <v>297</v>
      </c>
      <c r="E795" s="14">
        <v>4.4000000000000004</v>
      </c>
      <c r="F795" s="12"/>
      <c r="G795" s="12"/>
      <c r="M795" s="12"/>
    </row>
    <row r="796" spans="1:13" x14ac:dyDescent="0.3">
      <c r="A796" s="21"/>
      <c r="B796" s="9">
        <f>B793+1</f>
        <v>142</v>
      </c>
      <c r="C796" s="15" t="s">
        <v>353</v>
      </c>
      <c r="D796" s="10" t="s">
        <v>70</v>
      </c>
      <c r="E796" s="11">
        <v>1</v>
      </c>
      <c r="F796" s="1"/>
      <c r="G796" s="12">
        <f>E796*F796</f>
        <v>0</v>
      </c>
      <c r="M796" s="1">
        <f>4000/N599</f>
        <v>4301.0752688172042</v>
      </c>
    </row>
    <row r="797" spans="1:13" x14ac:dyDescent="0.3">
      <c r="A797" s="21"/>
      <c r="B797" s="3" t="s">
        <v>114</v>
      </c>
      <c r="C797" s="4" t="s">
        <v>115</v>
      </c>
      <c r="D797" s="5"/>
      <c r="E797" s="6"/>
      <c r="F797" s="7"/>
      <c r="G797" s="8">
        <f>SUM(G798:G814)</f>
        <v>0</v>
      </c>
    </row>
    <row r="798" spans="1:13" ht="16.2" x14ac:dyDescent="0.3">
      <c r="A798" s="21"/>
      <c r="B798" s="9">
        <f>B796+1</f>
        <v>143</v>
      </c>
      <c r="C798" s="15" t="s">
        <v>116</v>
      </c>
      <c r="D798" s="10" t="s">
        <v>36</v>
      </c>
      <c r="E798" s="11">
        <f>SUM(E800:E805)</f>
        <v>675.21</v>
      </c>
      <c r="F798" s="1"/>
      <c r="G798" s="12">
        <f>E798*F798</f>
        <v>0</v>
      </c>
      <c r="K798" s="38">
        <f>33*1.3</f>
        <v>42.9</v>
      </c>
      <c r="M798" s="1">
        <f>43/N599</f>
        <v>46.236559139784944</v>
      </c>
    </row>
    <row r="799" spans="1:13" x14ac:dyDescent="0.3">
      <c r="A799" s="21"/>
      <c r="B799" s="9"/>
      <c r="C799" s="14" t="s">
        <v>117</v>
      </c>
      <c r="E799" s="14"/>
      <c r="F799" s="12"/>
      <c r="G799" s="12"/>
      <c r="M799" s="12"/>
    </row>
    <row r="800" spans="1:13" ht="16.2" x14ac:dyDescent="0.3">
      <c r="A800" s="21"/>
      <c r="B800" s="9"/>
      <c r="C800" s="14" t="s">
        <v>287</v>
      </c>
      <c r="E800" s="14">
        <v>150.32</v>
      </c>
      <c r="F800" s="12"/>
      <c r="G800" s="12"/>
      <c r="M800" s="12"/>
    </row>
    <row r="801" spans="1:13" ht="16.2" x14ac:dyDescent="0.3">
      <c r="A801" s="21"/>
      <c r="B801" s="9"/>
      <c r="C801" s="14" t="s">
        <v>288</v>
      </c>
      <c r="E801" s="14">
        <v>66.150000000000006</v>
      </c>
      <c r="F801" s="12"/>
      <c r="G801" s="12"/>
      <c r="M801" s="12"/>
    </row>
    <row r="802" spans="1:13" ht="16.2" x14ac:dyDescent="0.3">
      <c r="A802" s="21"/>
      <c r="B802"/>
      <c r="C802" s="14" t="s">
        <v>289</v>
      </c>
      <c r="D802"/>
      <c r="E802" s="14">
        <v>95.73</v>
      </c>
    </row>
    <row r="803" spans="1:13" ht="16.2" x14ac:dyDescent="0.3">
      <c r="A803" s="21"/>
      <c r="B803"/>
      <c r="C803" s="14" t="s">
        <v>290</v>
      </c>
      <c r="D803"/>
      <c r="E803" s="14">
        <v>150.28</v>
      </c>
    </row>
    <row r="804" spans="1:13" ht="16.2" x14ac:dyDescent="0.3">
      <c r="A804" s="21"/>
      <c r="B804"/>
      <c r="C804" s="14" t="s">
        <v>291</v>
      </c>
      <c r="D804"/>
      <c r="E804" s="14">
        <v>55.66</v>
      </c>
    </row>
    <row r="805" spans="1:13" ht="16.2" x14ac:dyDescent="0.3">
      <c r="A805" s="21"/>
      <c r="B805"/>
      <c r="C805" s="14" t="s">
        <v>292</v>
      </c>
      <c r="D805"/>
      <c r="E805" s="14">
        <v>157.07</v>
      </c>
    </row>
    <row r="806" spans="1:13" ht="16.2" x14ac:dyDescent="0.3">
      <c r="A806" s="21"/>
      <c r="B806" s="9">
        <f>B798+1</f>
        <v>144</v>
      </c>
      <c r="C806" s="15" t="s">
        <v>131</v>
      </c>
      <c r="D806" s="10" t="s">
        <v>36</v>
      </c>
      <c r="E806" s="11">
        <f>SUM(E808:E813)</f>
        <v>675.21</v>
      </c>
      <c r="F806" s="1"/>
      <c r="G806" s="12">
        <f>E806*F806</f>
        <v>0</v>
      </c>
      <c r="K806" s="38">
        <f>60*1.3</f>
        <v>78</v>
      </c>
      <c r="M806" s="1">
        <f>78/N599</f>
        <v>83.870967741935473</v>
      </c>
    </row>
    <row r="807" spans="1:13" x14ac:dyDescent="0.3">
      <c r="A807" s="21"/>
      <c r="B807" s="9"/>
      <c r="C807" s="14" t="s">
        <v>117</v>
      </c>
      <c r="E807" s="14"/>
      <c r="F807" s="12"/>
      <c r="G807" s="12"/>
      <c r="M807" s="12"/>
    </row>
    <row r="808" spans="1:13" ht="16.2" x14ac:dyDescent="0.3">
      <c r="A808" s="21"/>
      <c r="B808" s="9"/>
      <c r="C808" s="14" t="s">
        <v>287</v>
      </c>
      <c r="E808" s="14">
        <v>150.32</v>
      </c>
      <c r="F808" s="12"/>
      <c r="G808" s="12"/>
      <c r="M808" s="12"/>
    </row>
    <row r="809" spans="1:13" ht="16.2" x14ac:dyDescent="0.3">
      <c r="A809" s="21"/>
      <c r="B809" s="9"/>
      <c r="C809" s="14" t="s">
        <v>288</v>
      </c>
      <c r="E809" s="14">
        <v>66.150000000000006</v>
      </c>
      <c r="F809" s="12"/>
      <c r="G809" s="12"/>
      <c r="M809" s="12"/>
    </row>
    <row r="810" spans="1:13" ht="16.2" x14ac:dyDescent="0.3">
      <c r="A810" s="21"/>
      <c r="B810"/>
      <c r="C810" s="14" t="s">
        <v>289</v>
      </c>
      <c r="D810"/>
      <c r="E810" s="14">
        <v>95.73</v>
      </c>
    </row>
    <row r="811" spans="1:13" ht="16.2" x14ac:dyDescent="0.3">
      <c r="A811" s="21"/>
      <c r="B811"/>
      <c r="C811" s="14" t="s">
        <v>290</v>
      </c>
      <c r="D811"/>
      <c r="E811" s="14">
        <v>150.28</v>
      </c>
    </row>
    <row r="812" spans="1:13" ht="16.2" x14ac:dyDescent="0.3">
      <c r="A812" s="21"/>
      <c r="B812"/>
      <c r="C812" s="14" t="s">
        <v>291</v>
      </c>
      <c r="D812"/>
      <c r="E812" s="14">
        <v>55.66</v>
      </c>
    </row>
    <row r="813" spans="1:13" ht="16.2" x14ac:dyDescent="0.3">
      <c r="A813" s="21"/>
      <c r="B813"/>
      <c r="C813" s="14" t="s">
        <v>292</v>
      </c>
      <c r="D813"/>
      <c r="E813" s="14">
        <v>157.07</v>
      </c>
    </row>
    <row r="814" spans="1:13" x14ac:dyDescent="0.3">
      <c r="A814" s="21"/>
      <c r="B814" s="9">
        <f>B806+1</f>
        <v>145</v>
      </c>
      <c r="C814" s="15" t="s">
        <v>354</v>
      </c>
      <c r="D814" s="10" t="s">
        <v>70</v>
      </c>
      <c r="E814" s="11">
        <v>1</v>
      </c>
      <c r="F814" s="1"/>
      <c r="G814" s="12">
        <f>E814*F814</f>
        <v>0</v>
      </c>
      <c r="M814" s="1">
        <f>8000/N599</f>
        <v>8602.1505376344085</v>
      </c>
    </row>
    <row r="815" spans="1:13" x14ac:dyDescent="0.3">
      <c r="A815" s="21"/>
      <c r="B815" s="3" t="s">
        <v>179</v>
      </c>
      <c r="C815" s="4" t="s">
        <v>180</v>
      </c>
      <c r="D815" s="5"/>
      <c r="E815" s="6"/>
      <c r="F815" s="7"/>
      <c r="G815" s="8">
        <f>SUM(G816:G826)</f>
        <v>0</v>
      </c>
    </row>
    <row r="816" spans="1:13" x14ac:dyDescent="0.3">
      <c r="A816" s="21"/>
      <c r="B816" s="9">
        <f>B814+1</f>
        <v>146</v>
      </c>
      <c r="C816" t="s">
        <v>181</v>
      </c>
      <c r="D816" s="10" t="s">
        <v>70</v>
      </c>
      <c r="E816" s="11">
        <f>SUM(E818)</f>
        <v>1</v>
      </c>
      <c r="F816" s="1"/>
      <c r="G816" s="12">
        <f>E816*F816</f>
        <v>0</v>
      </c>
      <c r="M816" s="1">
        <f>100000/N599</f>
        <v>107526.8817204301</v>
      </c>
    </row>
    <row r="817" spans="1:13" ht="28.8" x14ac:dyDescent="0.3">
      <c r="A817" s="21"/>
      <c r="B817" s="9"/>
      <c r="C817" s="13" t="s">
        <v>182</v>
      </c>
    </row>
    <row r="818" spans="1:13" x14ac:dyDescent="0.3">
      <c r="A818" s="21"/>
      <c r="B818" s="9"/>
      <c r="C818" s="14" t="s">
        <v>280</v>
      </c>
      <c r="E818" s="14">
        <v>1</v>
      </c>
    </row>
    <row r="819" spans="1:13" x14ac:dyDescent="0.3">
      <c r="A819" s="21"/>
      <c r="B819" s="9">
        <f>B816+1</f>
        <v>147</v>
      </c>
      <c r="C819" t="s">
        <v>183</v>
      </c>
      <c r="D819" s="10" t="s">
        <v>70</v>
      </c>
      <c r="E819" s="11">
        <f>SUM(E821)</f>
        <v>1</v>
      </c>
      <c r="F819" s="1"/>
      <c r="G819" s="12">
        <f>E819*F819</f>
        <v>0</v>
      </c>
      <c r="M819" s="1">
        <f>250000/N599</f>
        <v>268817.20430107525</v>
      </c>
    </row>
    <row r="820" spans="1:13" ht="28.8" x14ac:dyDescent="0.3">
      <c r="A820" s="21"/>
      <c r="B820" s="9"/>
      <c r="C820" s="13" t="s">
        <v>184</v>
      </c>
    </row>
    <row r="821" spans="1:13" x14ac:dyDescent="0.3">
      <c r="A821" s="21"/>
      <c r="B821" s="9"/>
      <c r="C821" s="14" t="s">
        <v>280</v>
      </c>
      <c r="E821" s="14">
        <v>1</v>
      </c>
    </row>
    <row r="822" spans="1:13" x14ac:dyDescent="0.3">
      <c r="A822" s="21"/>
      <c r="B822" s="9">
        <f>B819+1</f>
        <v>148</v>
      </c>
      <c r="C822" t="s">
        <v>185</v>
      </c>
      <c r="D822" s="10" t="s">
        <v>70</v>
      </c>
      <c r="E822" s="11">
        <v>1</v>
      </c>
      <c r="F822" s="1"/>
      <c r="G822" s="12">
        <f>E822*F822</f>
        <v>0</v>
      </c>
    </row>
    <row r="823" spans="1:13" x14ac:dyDescent="0.3">
      <c r="A823" s="21"/>
      <c r="B823" s="9"/>
      <c r="C823" s="13" t="s">
        <v>463</v>
      </c>
    </row>
    <row r="824" spans="1:13" x14ac:dyDescent="0.3">
      <c r="A824" s="21"/>
      <c r="B824" s="9">
        <f>B822+1</f>
        <v>149</v>
      </c>
      <c r="C824" t="s">
        <v>466</v>
      </c>
      <c r="D824" s="10" t="s">
        <v>70</v>
      </c>
      <c r="E824" s="11">
        <v>1</v>
      </c>
      <c r="F824" s="1"/>
      <c r="G824" s="12">
        <f>E824*F824</f>
        <v>0</v>
      </c>
      <c r="H824" s="12">
        <f>G824</f>
        <v>0</v>
      </c>
      <c r="I824" s="12"/>
      <c r="M824" s="1">
        <f>12000/N599</f>
        <v>12903.225806451612</v>
      </c>
    </row>
    <row r="825" spans="1:13" x14ac:dyDescent="0.3">
      <c r="A825" s="21"/>
      <c r="B825" s="9"/>
      <c r="C825" s="13" t="s">
        <v>464</v>
      </c>
    </row>
    <row r="826" spans="1:13" x14ac:dyDescent="0.3">
      <c r="A826" s="21"/>
      <c r="B826" s="9">
        <f>B824+1</f>
        <v>150</v>
      </c>
      <c r="C826" s="15" t="s">
        <v>355</v>
      </c>
      <c r="D826" s="10" t="s">
        <v>70</v>
      </c>
      <c r="E826" s="11">
        <v>1</v>
      </c>
      <c r="F826" s="1"/>
      <c r="G826" s="12">
        <f>E826*F826</f>
        <v>0</v>
      </c>
      <c r="M826" s="1">
        <f>12000/N599</f>
        <v>12903.225806451612</v>
      </c>
    </row>
  </sheetData>
  <sheetProtection algorithmName="SHA-512" hashValue="v6gwh3tGbDQFB6kSxiqpWg9jS++38z54xm2AGCuT6X7OYznDObpMyxXYsLcc8yK8X6lHl86Lf7dIv2yjvLJYWw==" saltValue="vZDkdaZs2weIJ3gdsMBZ0Q==" spinCount="100000" sheet="1" selectLockedCells="1"/>
  <mergeCells count="4">
    <mergeCell ref="B42:F42"/>
    <mergeCell ref="B597:F597"/>
    <mergeCell ref="B12:G12"/>
    <mergeCell ref="B13:F13"/>
  </mergeCells>
  <pageMargins left="0.98425196850393704" right="3.937007874015748E-2" top="0.74803149606299213" bottom="0.74803149606299213" header="0.31496062992125984" footer="0.31496062992125984"/>
  <pageSetup paperSize="9" scale="5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f3ad58d-445d-40ba-9cc1-3cc97fa0dc19" xsi:nil="true"/>
    <lcf76f155ced4ddcb4097134ff3c332f xmlns="95b419f4-261c-4a5d-b742-5f3743c0166a">
      <Terms xmlns="http://schemas.microsoft.com/office/infopath/2007/PartnerControls"/>
    </lcf76f155ced4ddcb4097134ff3c332f>
    <Osoby xmlns="95b419f4-261c-4a5d-b742-5f3743c0166a">
      <UserInfo>
        <DisplayName/>
        <AccountId xsi:nil="true"/>
        <AccountType/>
      </UserInfo>
    </Osoby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82659024F3442418007FBC67063E419" ma:contentTypeVersion="18" ma:contentTypeDescription="Vytvoří nový dokument" ma:contentTypeScope="" ma:versionID="44368e6737b4beee583980e3e734a515">
  <xsd:schema xmlns:xsd="http://www.w3.org/2001/XMLSchema" xmlns:xs="http://www.w3.org/2001/XMLSchema" xmlns:p="http://schemas.microsoft.com/office/2006/metadata/properties" xmlns:ns2="95b419f4-261c-4a5d-b742-5f3743c0166a" xmlns:ns3="9f3ad58d-445d-40ba-9cc1-3cc97fa0dc19" targetNamespace="http://schemas.microsoft.com/office/2006/metadata/properties" ma:root="true" ma:fieldsID="869c2ffd647830fc7fb42f7072b6a891" ns2:_="" ns3:_="">
    <xsd:import namespace="95b419f4-261c-4a5d-b742-5f3743c0166a"/>
    <xsd:import namespace="9f3ad58d-445d-40ba-9cc1-3cc97fa0dc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Osoby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b419f4-261c-4a5d-b742-5f3743c016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Osoby" ma:index="18" nillable="true" ma:displayName="Osoby" ma:list="UserInfo" ma:SharePointGroup="0" ma:internalName="Osoby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Značky obrázků" ma:readOnly="false" ma:fieldId="{5cf76f15-5ced-4ddc-b409-7134ff3c332f}" ma:taxonomyMulti="true" ma:sspId="3c39a8f0-0e74-4675-afc0-d454c6128de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3ad58d-445d-40ba-9cc1-3cc97fa0dc1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8fc8204f-c9e9-44bd-8d34-ab0ad8c9e17e}" ma:internalName="TaxCatchAll" ma:showField="CatchAllData" ma:web="9f3ad58d-445d-40ba-9cc1-3cc97fa0dc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DA95C85-54D8-4363-923D-4A41C05E184D}">
  <ds:schemaRefs>
    <ds:schemaRef ds:uri="http://schemas.microsoft.com/office/2006/metadata/properties"/>
    <ds:schemaRef ds:uri="http://schemas.microsoft.com/office/infopath/2007/PartnerControls"/>
    <ds:schemaRef ds:uri="9f3ad58d-445d-40ba-9cc1-3cc97fa0dc19"/>
    <ds:schemaRef ds:uri="95b419f4-261c-4a5d-b742-5f3743c0166a"/>
  </ds:schemaRefs>
</ds:datastoreItem>
</file>

<file path=customXml/itemProps2.xml><?xml version="1.0" encoding="utf-8"?>
<ds:datastoreItem xmlns:ds="http://schemas.openxmlformats.org/officeDocument/2006/customXml" ds:itemID="{55957D2B-1581-4B44-9985-845A3C557F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296700-3A5E-4CE1-8F05-5E6A2E0C85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5b419f4-261c-4a5d-b742-5f3743c0166a"/>
    <ds:schemaRef ds:uri="9f3ad58d-445d-40ba-9cc1-3cc97fa0dc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3</vt:i4>
      </vt:variant>
    </vt:vector>
  </HeadingPairs>
  <TitlesOfParts>
    <vt:vector size="7" baseType="lpstr">
      <vt:lpstr>pokyny k vyplnění</vt:lpstr>
      <vt:lpstr>Krycí list</vt:lpstr>
      <vt:lpstr>Rekapitulace</vt:lpstr>
      <vt:lpstr>Položky</vt:lpstr>
      <vt:lpstr>aa</vt:lpstr>
      <vt:lpstr>'Krycí list'!ZakladDPHSniVypocet</vt:lpstr>
      <vt:lpstr>'Krycí list'!ZakladDPHZaklVypocet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KarelPC</dc:creator>
  <cp:lastModifiedBy>Katka Milošová</cp:lastModifiedBy>
  <cp:lastPrinted>2022-09-11T08:16:21Z</cp:lastPrinted>
  <dcterms:created xsi:type="dcterms:W3CDTF">2022-07-06T07:19:32Z</dcterms:created>
  <dcterms:modified xsi:type="dcterms:W3CDTF">2023-12-18T09:19:45Z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0x010100C82659024F3442418007FBC67063E419</vt:lpwstr>
  </property>
  <property fmtid="{D5CDD505-2E9C-101B-9397-08002B2CF9AE}" pid="3" name="MediaServiceImageTags">
    <vt:lpwstr/>
  </property>
</Properties>
</file>