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ek\Desktop\Podkroví B.III - uveřejnění\"/>
    </mc:Choice>
  </mc:AlternateContent>
  <bookViews>
    <workbookView xWindow="1530" yWindow="135" windowWidth="28395" windowHeight="20025" activeTab="2"/>
  </bookViews>
  <sheets>
    <sheet name="Krycí list rozpočtu" sheetId="4" r:id="rId1"/>
    <sheet name="Rekapitulace" sheetId="2" r:id="rId2"/>
    <sheet name="Položkový rozpočet" sheetId="1" r:id="rId3"/>
  </sheets>
  <calcPr calcId="162913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6" i="1" l="1"/>
  <c r="AT48" i="1"/>
  <c r="AF48" i="1"/>
  <c r="AN48" i="1" s="1"/>
  <c r="AE48" i="1"/>
  <c r="AM48" i="1" s="1"/>
  <c r="AS48" i="1" s="1"/>
  <c r="AA48" i="1"/>
  <c r="Z48" i="1"/>
  <c r="X48" i="1"/>
  <c r="W48" i="1"/>
  <c r="V48" i="1"/>
  <c r="U48" i="1"/>
  <c r="T48" i="1"/>
  <c r="P48" i="1"/>
  <c r="L48" i="1"/>
  <c r="AV48" i="1" s="1"/>
  <c r="J48" i="1"/>
  <c r="AB48" i="1" s="1"/>
  <c r="AK47" i="1" s="1"/>
  <c r="H48" i="1"/>
  <c r="R48" i="1" s="1"/>
  <c r="AJ47" i="1"/>
  <c r="AI47" i="1"/>
  <c r="L47" i="1"/>
  <c r="G17" i="2" s="1"/>
  <c r="H47" i="1"/>
  <c r="P13" i="1"/>
  <c r="T13" i="1"/>
  <c r="U13" i="1"/>
  <c r="V13" i="1"/>
  <c r="W13" i="1"/>
  <c r="X13" i="1"/>
  <c r="Z13" i="1"/>
  <c r="AI12" i="1" s="1"/>
  <c r="AA13" i="1"/>
  <c r="AJ12" i="1" s="1"/>
  <c r="AE13" i="1"/>
  <c r="AM13" i="1" s="1"/>
  <c r="AF13" i="1"/>
  <c r="AN13" i="1" s="1"/>
  <c r="AT13" i="1"/>
  <c r="P16" i="1"/>
  <c r="T16" i="1"/>
  <c r="U16" i="1"/>
  <c r="V16" i="1"/>
  <c r="W16" i="1"/>
  <c r="X16" i="1"/>
  <c r="Z16" i="1"/>
  <c r="AI15" i="1" s="1"/>
  <c r="AA16" i="1"/>
  <c r="AJ15" i="1" s="1"/>
  <c r="AE16" i="1"/>
  <c r="AM16" i="1" s="1"/>
  <c r="AF16" i="1"/>
  <c r="AN16" i="1" s="1"/>
  <c r="AT16" i="1"/>
  <c r="P19" i="1"/>
  <c r="T19" i="1"/>
  <c r="U19" i="1"/>
  <c r="V19" i="1"/>
  <c r="W19" i="1"/>
  <c r="X19" i="1"/>
  <c r="Z19" i="1"/>
  <c r="AA19" i="1"/>
  <c r="AE19" i="1"/>
  <c r="H19" i="1" s="1"/>
  <c r="R19" i="1" s="1"/>
  <c r="AF19" i="1"/>
  <c r="AN19" i="1" s="1"/>
  <c r="AT19" i="1"/>
  <c r="P21" i="1"/>
  <c r="T21" i="1"/>
  <c r="U21" i="1"/>
  <c r="V21" i="1"/>
  <c r="W21" i="1"/>
  <c r="X21" i="1"/>
  <c r="Z21" i="1"/>
  <c r="AA21" i="1"/>
  <c r="AE21" i="1"/>
  <c r="AM21" i="1" s="1"/>
  <c r="AF21" i="1"/>
  <c r="AN21" i="1" s="1"/>
  <c r="AT21" i="1"/>
  <c r="P22" i="1"/>
  <c r="T22" i="1"/>
  <c r="U22" i="1"/>
  <c r="V22" i="1"/>
  <c r="W22" i="1"/>
  <c r="X22" i="1"/>
  <c r="Z22" i="1"/>
  <c r="AA22" i="1"/>
  <c r="AE22" i="1"/>
  <c r="H22" i="1" s="1"/>
  <c r="R22" i="1" s="1"/>
  <c r="AF22" i="1"/>
  <c r="AN22" i="1" s="1"/>
  <c r="AT22" i="1"/>
  <c r="P23" i="1"/>
  <c r="T23" i="1"/>
  <c r="U23" i="1"/>
  <c r="V23" i="1"/>
  <c r="W23" i="1"/>
  <c r="X23" i="1"/>
  <c r="Z23" i="1"/>
  <c r="AA23" i="1"/>
  <c r="AE23" i="1"/>
  <c r="AM23" i="1" s="1"/>
  <c r="AF23" i="1"/>
  <c r="AN23" i="1" s="1"/>
  <c r="AT23" i="1"/>
  <c r="P24" i="1"/>
  <c r="T24" i="1"/>
  <c r="U24" i="1"/>
  <c r="V24" i="1"/>
  <c r="W24" i="1"/>
  <c r="X24" i="1"/>
  <c r="Z24" i="1"/>
  <c r="AA24" i="1"/>
  <c r="AE24" i="1"/>
  <c r="AM24" i="1" s="1"/>
  <c r="AF24" i="1"/>
  <c r="AN24" i="1" s="1"/>
  <c r="AT24" i="1"/>
  <c r="P27" i="1"/>
  <c r="R27" i="1"/>
  <c r="S27" i="1"/>
  <c r="V27" i="1"/>
  <c r="W27" i="1"/>
  <c r="X27" i="1"/>
  <c r="Z27" i="1"/>
  <c r="AA27" i="1"/>
  <c r="AE27" i="1"/>
  <c r="H27" i="1" s="1"/>
  <c r="T27" i="1" s="1"/>
  <c r="AF27" i="1"/>
  <c r="AN27" i="1" s="1"/>
  <c r="AT27" i="1"/>
  <c r="P28" i="1"/>
  <c r="R28" i="1"/>
  <c r="S28" i="1"/>
  <c r="V28" i="1"/>
  <c r="W28" i="1"/>
  <c r="X28" i="1"/>
  <c r="Z28" i="1"/>
  <c r="AA28" i="1"/>
  <c r="AE28" i="1"/>
  <c r="AM28" i="1" s="1"/>
  <c r="AF28" i="1"/>
  <c r="AN28" i="1" s="1"/>
  <c r="AT28" i="1"/>
  <c r="R30" i="1"/>
  <c r="S30" i="1"/>
  <c r="T30" i="1"/>
  <c r="U30" i="1"/>
  <c r="V30" i="1"/>
  <c r="W30" i="1"/>
  <c r="X30" i="1"/>
  <c r="Z30" i="1"/>
  <c r="AA30" i="1"/>
  <c r="AE30" i="1"/>
  <c r="AM30" i="1" s="1"/>
  <c r="AF30" i="1"/>
  <c r="AN30" i="1" s="1"/>
  <c r="AT30" i="1"/>
  <c r="AV30" i="1"/>
  <c r="P32" i="1"/>
  <c r="R32" i="1"/>
  <c r="S32" i="1"/>
  <c r="V32" i="1"/>
  <c r="W32" i="1"/>
  <c r="X32" i="1"/>
  <c r="Z32" i="1"/>
  <c r="AA32" i="1"/>
  <c r="AE32" i="1"/>
  <c r="AM32" i="1" s="1"/>
  <c r="AF32" i="1"/>
  <c r="AN32" i="1"/>
  <c r="AT32" i="1"/>
  <c r="R34" i="1"/>
  <c r="S34" i="1"/>
  <c r="T34" i="1"/>
  <c r="U34" i="1"/>
  <c r="V34" i="1"/>
  <c r="W34" i="1"/>
  <c r="X34" i="1"/>
  <c r="Z34" i="1"/>
  <c r="AA34" i="1"/>
  <c r="AE34" i="1"/>
  <c r="AM34" i="1" s="1"/>
  <c r="AF34" i="1"/>
  <c r="AN34" i="1" s="1"/>
  <c r="AT34" i="1"/>
  <c r="P36" i="1"/>
  <c r="T36" i="1"/>
  <c r="U36" i="1"/>
  <c r="V36" i="1"/>
  <c r="W36" i="1"/>
  <c r="X36" i="1"/>
  <c r="Z36" i="1"/>
  <c r="AA36" i="1"/>
  <c r="AE36" i="1"/>
  <c r="AM36" i="1" s="1"/>
  <c r="AF36" i="1"/>
  <c r="AN36" i="1" s="1"/>
  <c r="AT36" i="1"/>
  <c r="P37" i="1"/>
  <c r="T37" i="1"/>
  <c r="U37" i="1"/>
  <c r="V37" i="1"/>
  <c r="W37" i="1"/>
  <c r="X37" i="1"/>
  <c r="Z37" i="1"/>
  <c r="AA37" i="1"/>
  <c r="AE37" i="1"/>
  <c r="AM37" i="1" s="1"/>
  <c r="AF37" i="1"/>
  <c r="AN37" i="1" s="1"/>
  <c r="AT37" i="1"/>
  <c r="P39" i="1"/>
  <c r="T39" i="1"/>
  <c r="U39" i="1"/>
  <c r="V39" i="1"/>
  <c r="W39" i="1"/>
  <c r="X39" i="1"/>
  <c r="Z39" i="1"/>
  <c r="AA39" i="1"/>
  <c r="AE39" i="1"/>
  <c r="AM39" i="1" s="1"/>
  <c r="AF39" i="1"/>
  <c r="AN39" i="1" s="1"/>
  <c r="AT39" i="1"/>
  <c r="P41" i="1"/>
  <c r="T41" i="1"/>
  <c r="U41" i="1"/>
  <c r="V41" i="1"/>
  <c r="W41" i="1"/>
  <c r="X41" i="1"/>
  <c r="Z41" i="1"/>
  <c r="AA41" i="1"/>
  <c r="AE41" i="1"/>
  <c r="H41" i="1" s="1"/>
  <c r="R41" i="1" s="1"/>
  <c r="AF41" i="1"/>
  <c r="AN41" i="1" s="1"/>
  <c r="AT41" i="1"/>
  <c r="P42" i="1"/>
  <c r="T42" i="1"/>
  <c r="U42" i="1"/>
  <c r="V42" i="1"/>
  <c r="W42" i="1"/>
  <c r="X42" i="1"/>
  <c r="Z42" i="1"/>
  <c r="AA42" i="1"/>
  <c r="AE42" i="1"/>
  <c r="AM42" i="1" s="1"/>
  <c r="AF42" i="1"/>
  <c r="AN42" i="1" s="1"/>
  <c r="AT42" i="1"/>
  <c r="P43" i="1"/>
  <c r="T43" i="1"/>
  <c r="U43" i="1"/>
  <c r="V43" i="1"/>
  <c r="W43" i="1"/>
  <c r="X43" i="1"/>
  <c r="Z43" i="1"/>
  <c r="AA43" i="1"/>
  <c r="AE43" i="1"/>
  <c r="H43" i="1" s="1"/>
  <c r="R43" i="1" s="1"/>
  <c r="AF43" i="1"/>
  <c r="AN43" i="1" s="1"/>
  <c r="AT43" i="1"/>
  <c r="P44" i="1"/>
  <c r="T44" i="1"/>
  <c r="U44" i="1"/>
  <c r="V44" i="1"/>
  <c r="W44" i="1"/>
  <c r="X44" i="1"/>
  <c r="Z44" i="1"/>
  <c r="AA44" i="1"/>
  <c r="AE44" i="1"/>
  <c r="AM44" i="1" s="1"/>
  <c r="AF44" i="1"/>
  <c r="AN44" i="1" s="1"/>
  <c r="AT44" i="1"/>
  <c r="P45" i="1"/>
  <c r="T45" i="1"/>
  <c r="U45" i="1"/>
  <c r="V45" i="1"/>
  <c r="W45" i="1"/>
  <c r="X45" i="1"/>
  <c r="Z45" i="1"/>
  <c r="AA45" i="1"/>
  <c r="AE45" i="1"/>
  <c r="AM45" i="1" s="1"/>
  <c r="AF45" i="1"/>
  <c r="AN45" i="1" s="1"/>
  <c r="AT45" i="1"/>
  <c r="P46" i="1"/>
  <c r="T46" i="1"/>
  <c r="U46" i="1"/>
  <c r="V46" i="1"/>
  <c r="W46" i="1"/>
  <c r="X46" i="1"/>
  <c r="Z46" i="1"/>
  <c r="AA46" i="1"/>
  <c r="AE46" i="1"/>
  <c r="AM46" i="1" s="1"/>
  <c r="AF46" i="1"/>
  <c r="AN46" i="1" s="1"/>
  <c r="AT46" i="1"/>
  <c r="P50" i="1"/>
  <c r="T50" i="1"/>
  <c r="U50" i="1"/>
  <c r="V50" i="1"/>
  <c r="W50" i="1"/>
  <c r="X50" i="1"/>
  <c r="Z50" i="1"/>
  <c r="AA50" i="1"/>
  <c r="AE50" i="1"/>
  <c r="AM50" i="1" s="1"/>
  <c r="AF50" i="1"/>
  <c r="AN50" i="1" s="1"/>
  <c r="AT50" i="1"/>
  <c r="AV50" i="1"/>
  <c r="P52" i="1"/>
  <c r="T52" i="1"/>
  <c r="U52" i="1"/>
  <c r="V52" i="1"/>
  <c r="W52" i="1"/>
  <c r="X52" i="1"/>
  <c r="Z52" i="1"/>
  <c r="AA52" i="1"/>
  <c r="AE52" i="1"/>
  <c r="H52" i="1" s="1"/>
  <c r="R52" i="1" s="1"/>
  <c r="AF52" i="1"/>
  <c r="AN52" i="1" s="1"/>
  <c r="AM52" i="1"/>
  <c r="AS52" i="1" s="1"/>
  <c r="AT52" i="1"/>
  <c r="R55" i="1"/>
  <c r="S55" i="1"/>
  <c r="T55" i="1"/>
  <c r="U55" i="1"/>
  <c r="V55" i="1"/>
  <c r="W55" i="1"/>
  <c r="X55" i="1"/>
  <c r="Z55" i="1"/>
  <c r="AI54" i="1" s="1"/>
  <c r="AA55" i="1"/>
  <c r="AJ54" i="1" s="1"/>
  <c r="AE55" i="1"/>
  <c r="AM55" i="1" s="1"/>
  <c r="AF55" i="1"/>
  <c r="AN55" i="1" s="1"/>
  <c r="AT55" i="1"/>
  <c r="R57" i="1"/>
  <c r="S57" i="1"/>
  <c r="T57" i="1"/>
  <c r="U57" i="1"/>
  <c r="V57" i="1"/>
  <c r="W57" i="1"/>
  <c r="X57" i="1"/>
  <c r="Z57" i="1"/>
  <c r="AA57" i="1"/>
  <c r="AE57" i="1"/>
  <c r="AM57" i="1" s="1"/>
  <c r="AF57" i="1"/>
  <c r="AN57" i="1" s="1"/>
  <c r="AT57" i="1"/>
  <c r="R58" i="1"/>
  <c r="S58" i="1"/>
  <c r="T58" i="1"/>
  <c r="U58" i="1"/>
  <c r="V58" i="1"/>
  <c r="W58" i="1"/>
  <c r="X58" i="1"/>
  <c r="Z58" i="1"/>
  <c r="AA58" i="1"/>
  <c r="AE58" i="1"/>
  <c r="AM58" i="1" s="1"/>
  <c r="AF58" i="1"/>
  <c r="AN58" i="1" s="1"/>
  <c r="AT58" i="1"/>
  <c r="R59" i="1"/>
  <c r="S59" i="1"/>
  <c r="T59" i="1"/>
  <c r="U59" i="1"/>
  <c r="V59" i="1"/>
  <c r="W59" i="1"/>
  <c r="X59" i="1"/>
  <c r="Z59" i="1"/>
  <c r="AA59" i="1"/>
  <c r="AE59" i="1"/>
  <c r="AM59" i="1" s="1"/>
  <c r="AF59" i="1"/>
  <c r="AN59" i="1" s="1"/>
  <c r="AT59" i="1"/>
  <c r="C2" i="4"/>
  <c r="F2" i="4"/>
  <c r="C4" i="4"/>
  <c r="C6" i="4"/>
  <c r="F6" i="4"/>
  <c r="C8" i="4"/>
  <c r="F8" i="4"/>
  <c r="C10" i="4"/>
  <c r="J13" i="1"/>
  <c r="AB13" i="1" s="1"/>
  <c r="AK12" i="1" s="1"/>
  <c r="L13" i="1"/>
  <c r="AV13" i="1" s="1"/>
  <c r="J16" i="1"/>
  <c r="AB16" i="1" s="1"/>
  <c r="AK15" i="1" s="1"/>
  <c r="L16" i="1"/>
  <c r="AV16" i="1" s="1"/>
  <c r="J19" i="1"/>
  <c r="AB19" i="1" s="1"/>
  <c r="L19" i="1"/>
  <c r="AV19" i="1" s="1"/>
  <c r="J21" i="1"/>
  <c r="AB21" i="1" s="1"/>
  <c r="L21" i="1"/>
  <c r="AV21" i="1" s="1"/>
  <c r="J22" i="1"/>
  <c r="AB22" i="1" s="1"/>
  <c r="L22" i="1"/>
  <c r="AV22" i="1" s="1"/>
  <c r="J23" i="1"/>
  <c r="AB23" i="1" s="1"/>
  <c r="L23" i="1"/>
  <c r="AV23" i="1" s="1"/>
  <c r="H23" i="1"/>
  <c r="R23" i="1" s="1"/>
  <c r="J24" i="1"/>
  <c r="AB24" i="1" s="1"/>
  <c r="L24" i="1"/>
  <c r="AV24" i="1" s="1"/>
  <c r="J27" i="1"/>
  <c r="AB27" i="1" s="1"/>
  <c r="L27" i="1"/>
  <c r="AV27" i="1" s="1"/>
  <c r="J28" i="1"/>
  <c r="AB28" i="1" s="1"/>
  <c r="L28" i="1"/>
  <c r="AV28" i="1" s="1"/>
  <c r="J30" i="1"/>
  <c r="P30" i="1" s="1"/>
  <c r="L30" i="1"/>
  <c r="J32" i="1"/>
  <c r="AB32" i="1" s="1"/>
  <c r="L32" i="1"/>
  <c r="AV32" i="1" s="1"/>
  <c r="J34" i="1"/>
  <c r="P34" i="1" s="1"/>
  <c r="L34" i="1"/>
  <c r="AV34" i="1" s="1"/>
  <c r="J36" i="1"/>
  <c r="AB36" i="1" s="1"/>
  <c r="AV36" i="1"/>
  <c r="J37" i="1"/>
  <c r="AB37" i="1" s="1"/>
  <c r="L37" i="1"/>
  <c r="AV37" i="1" s="1"/>
  <c r="J39" i="1"/>
  <c r="AB39" i="1" s="1"/>
  <c r="L39" i="1"/>
  <c r="AV39" i="1" s="1"/>
  <c r="J41" i="1"/>
  <c r="AB41" i="1" s="1"/>
  <c r="L41" i="1"/>
  <c r="AV41" i="1" s="1"/>
  <c r="J42" i="1"/>
  <c r="AB42" i="1" s="1"/>
  <c r="L42" i="1"/>
  <c r="AV42" i="1" s="1"/>
  <c r="J43" i="1"/>
  <c r="AB43" i="1" s="1"/>
  <c r="L43" i="1"/>
  <c r="AV43" i="1" s="1"/>
  <c r="J44" i="1"/>
  <c r="AB44" i="1" s="1"/>
  <c r="L44" i="1"/>
  <c r="AV44" i="1" s="1"/>
  <c r="J45" i="1"/>
  <c r="AB45" i="1" s="1"/>
  <c r="L45" i="1"/>
  <c r="AV45" i="1" s="1"/>
  <c r="H45" i="1"/>
  <c r="R45" i="1" s="1"/>
  <c r="J46" i="1"/>
  <c r="AB46" i="1" s="1"/>
  <c r="L46" i="1"/>
  <c r="AV46" i="1" s="1"/>
  <c r="J50" i="1"/>
  <c r="AB50" i="1" s="1"/>
  <c r="L50" i="1"/>
  <c r="J52" i="1"/>
  <c r="AB52" i="1" s="1"/>
  <c r="L52" i="1"/>
  <c r="AV52" i="1" s="1"/>
  <c r="J55" i="1"/>
  <c r="P55" i="1" s="1"/>
  <c r="L55" i="1"/>
  <c r="L54" i="1" s="1"/>
  <c r="G19" i="2" s="1"/>
  <c r="J57" i="1"/>
  <c r="P57" i="1" s="1"/>
  <c r="L57" i="1"/>
  <c r="AV57" i="1" s="1"/>
  <c r="J58" i="1"/>
  <c r="P58" i="1" s="1"/>
  <c r="L58" i="1"/>
  <c r="AV58" i="1" s="1"/>
  <c r="J59" i="1"/>
  <c r="P59" i="1" s="1"/>
  <c r="L59" i="1"/>
  <c r="AV59" i="1" s="1"/>
  <c r="B2" i="2"/>
  <c r="E2" i="2"/>
  <c r="B4" i="2"/>
  <c r="B6" i="2"/>
  <c r="E6" i="2"/>
  <c r="H55" i="1" l="1"/>
  <c r="H54" i="1" s="1"/>
  <c r="H34" i="1"/>
  <c r="H32" i="1"/>
  <c r="T32" i="1" s="1"/>
  <c r="AI26" i="1"/>
  <c r="H13" i="1"/>
  <c r="R13" i="1" s="1"/>
  <c r="I48" i="1"/>
  <c r="AS58" i="1"/>
  <c r="AS21" i="1"/>
  <c r="AS13" i="1"/>
  <c r="H36" i="1"/>
  <c r="R36" i="1" s="1"/>
  <c r="AS55" i="1"/>
  <c r="AS44" i="1"/>
  <c r="H24" i="1"/>
  <c r="R24" i="1" s="1"/>
  <c r="AS24" i="1"/>
  <c r="AS36" i="1"/>
  <c r="AM27" i="1"/>
  <c r="AS27" i="1" s="1"/>
  <c r="AM43" i="1"/>
  <c r="AS30" i="1"/>
  <c r="AS39" i="1"/>
  <c r="AS45" i="1"/>
  <c r="AS34" i="1"/>
  <c r="AJ56" i="1"/>
  <c r="AJ18" i="1"/>
  <c r="AS59" i="1"/>
  <c r="AS32" i="1"/>
  <c r="AS46" i="1"/>
  <c r="AS16" i="1"/>
  <c r="AS50" i="1"/>
  <c r="H16" i="1"/>
  <c r="R16" i="1" s="1"/>
  <c r="AS37" i="1"/>
  <c r="AI31" i="1"/>
  <c r="AS43" i="1"/>
  <c r="AB59" i="1"/>
  <c r="H50" i="1"/>
  <c r="R50" i="1" s="1"/>
  <c r="AS28" i="1"/>
  <c r="AJ31" i="1"/>
  <c r="AS23" i="1"/>
  <c r="AI18" i="1"/>
  <c r="AJ49" i="1"/>
  <c r="AI49" i="1"/>
  <c r="AB30" i="1"/>
  <c r="AK26" i="1" s="1"/>
  <c r="AJ26" i="1"/>
  <c r="H44" i="1"/>
  <c r="R44" i="1" s="1"/>
  <c r="AJ35" i="1"/>
  <c r="AB58" i="1"/>
  <c r="AI35" i="1"/>
  <c r="AI56" i="1"/>
  <c r="AK49" i="1"/>
  <c r="AK18" i="1"/>
  <c r="AS42" i="1"/>
  <c r="AS57" i="1"/>
  <c r="AK35" i="1"/>
  <c r="AB34" i="1"/>
  <c r="AK31" i="1" s="1"/>
  <c r="AM22" i="1"/>
  <c r="AS22" i="1" s="1"/>
  <c r="H57" i="1"/>
  <c r="I57" i="1" s="1"/>
  <c r="AV55" i="1"/>
  <c r="AM19" i="1"/>
  <c r="AS19" i="1" s="1"/>
  <c r="AB55" i="1"/>
  <c r="AK54" i="1" s="1"/>
  <c r="H28" i="1"/>
  <c r="T28" i="1" s="1"/>
  <c r="AM41" i="1"/>
  <c r="AS41" i="1" s="1"/>
  <c r="AB57" i="1"/>
  <c r="H59" i="1"/>
  <c r="I59" i="1" s="1"/>
  <c r="I13" i="1"/>
  <c r="S13" i="1" s="1"/>
  <c r="H21" i="1"/>
  <c r="R21" i="1" s="1"/>
  <c r="I36" i="1"/>
  <c r="S36" i="1" s="1"/>
  <c r="L15" i="1"/>
  <c r="G12" i="2" s="1"/>
  <c r="I43" i="1"/>
  <c r="S43" i="1" s="1"/>
  <c r="C28" i="4"/>
  <c r="F28" i="4" s="1"/>
  <c r="H58" i="1"/>
  <c r="C19" i="4"/>
  <c r="L12" i="1"/>
  <c r="G11" i="2" s="1"/>
  <c r="C18" i="4"/>
  <c r="H46" i="1"/>
  <c r="R46" i="1" s="1"/>
  <c r="H39" i="1"/>
  <c r="R39" i="1" s="1"/>
  <c r="L56" i="1"/>
  <c r="G20" i="2" s="1"/>
  <c r="I55" i="1"/>
  <c r="I54" i="1" s="1"/>
  <c r="E19" i="2" s="1"/>
  <c r="L31" i="1"/>
  <c r="G15" i="2" s="1"/>
  <c r="L26" i="1"/>
  <c r="G14" i="2" s="1"/>
  <c r="L49" i="1"/>
  <c r="G18" i="2" s="1"/>
  <c r="I41" i="1"/>
  <c r="S41" i="1" s="1"/>
  <c r="I34" i="1"/>
  <c r="C20" i="4"/>
  <c r="I27" i="1"/>
  <c r="U27" i="1" s="1"/>
  <c r="H12" i="1"/>
  <c r="H31" i="1"/>
  <c r="I32" i="1"/>
  <c r="U32" i="1" s="1"/>
  <c r="I23" i="1"/>
  <c r="S23" i="1" s="1"/>
  <c r="I52" i="1"/>
  <c r="S52" i="1" s="1"/>
  <c r="H42" i="1"/>
  <c r="R42" i="1" s="1"/>
  <c r="H37" i="1"/>
  <c r="R37" i="1" s="1"/>
  <c r="I22" i="1"/>
  <c r="S22" i="1" s="1"/>
  <c r="H30" i="1"/>
  <c r="I45" i="1"/>
  <c r="S45" i="1" s="1"/>
  <c r="D19" i="2"/>
  <c r="L18" i="1"/>
  <c r="G13" i="2" s="1"/>
  <c r="I19" i="1"/>
  <c r="S19" i="1" s="1"/>
  <c r="C27" i="4"/>
  <c r="L35" i="1"/>
  <c r="G16" i="2" s="1"/>
  <c r="I24" i="1"/>
  <c r="S24" i="1" s="1"/>
  <c r="C14" i="4" l="1"/>
  <c r="S48" i="1"/>
  <c r="I47" i="1"/>
  <c r="J47" i="1" s="1"/>
  <c r="H49" i="1"/>
  <c r="I28" i="1"/>
  <c r="U28" i="1" s="1"/>
  <c r="D17" i="2"/>
  <c r="I16" i="1"/>
  <c r="S16" i="1" s="1"/>
  <c r="AK56" i="1"/>
  <c r="I50" i="1"/>
  <c r="S50" i="1" s="1"/>
  <c r="I44" i="1"/>
  <c r="S44" i="1" s="1"/>
  <c r="H26" i="1"/>
  <c r="D14" i="2" s="1"/>
  <c r="H56" i="1"/>
  <c r="D20" i="2" s="1"/>
  <c r="I12" i="1"/>
  <c r="E11" i="2" s="1"/>
  <c r="I21" i="1"/>
  <c r="S21" i="1" s="1"/>
  <c r="H18" i="1"/>
  <c r="D13" i="2" s="1"/>
  <c r="H15" i="1"/>
  <c r="D12" i="2" s="1"/>
  <c r="C21" i="4"/>
  <c r="I39" i="1"/>
  <c r="S39" i="1" s="1"/>
  <c r="I46" i="1"/>
  <c r="S46" i="1" s="1"/>
  <c r="I58" i="1"/>
  <c r="I56" i="1" s="1"/>
  <c r="E20" i="2" s="1"/>
  <c r="F19" i="2"/>
  <c r="I19" i="2" s="1"/>
  <c r="J54" i="1"/>
  <c r="H35" i="1"/>
  <c r="D16" i="2" s="1"/>
  <c r="D15" i="2"/>
  <c r="D18" i="2"/>
  <c r="I31" i="1"/>
  <c r="E15" i="2" s="1"/>
  <c r="D11" i="2"/>
  <c r="I30" i="1"/>
  <c r="I26" i="1" s="1"/>
  <c r="E14" i="2" s="1"/>
  <c r="I49" i="1"/>
  <c r="E18" i="2" s="1"/>
  <c r="I42" i="1"/>
  <c r="S42" i="1" s="1"/>
  <c r="I37" i="1"/>
  <c r="S37" i="1" s="1"/>
  <c r="J12" i="1" l="1"/>
  <c r="F11" i="2"/>
  <c r="I11" i="2" s="1"/>
  <c r="I18" i="1"/>
  <c r="E13" i="2" s="1"/>
  <c r="F13" i="2" s="1"/>
  <c r="I13" i="2" s="1"/>
  <c r="I15" i="1"/>
  <c r="E12" i="2" s="1"/>
  <c r="F20" i="2"/>
  <c r="I20" i="2" s="1"/>
  <c r="J56" i="1"/>
  <c r="F12" i="2"/>
  <c r="I12" i="2" s="1"/>
  <c r="F18" i="2"/>
  <c r="I18" i="2" s="1"/>
  <c r="J15" i="1"/>
  <c r="J49" i="1"/>
  <c r="J31" i="1"/>
  <c r="F15" i="2"/>
  <c r="I15" i="2" s="1"/>
  <c r="C15" i="4"/>
  <c r="I35" i="1"/>
  <c r="F14" i="2"/>
  <c r="I14" i="2" s="1"/>
  <c r="J26" i="1"/>
  <c r="E17" i="2" l="1"/>
  <c r="F17" i="2" s="1"/>
  <c r="I17" i="2" s="1"/>
  <c r="J18" i="1"/>
  <c r="E16" i="2"/>
  <c r="F16" i="2" s="1"/>
  <c r="I16" i="2" s="1"/>
  <c r="F22" i="2" s="1"/>
  <c r="J35" i="1"/>
  <c r="J60" i="1" s="1"/>
  <c r="C17" i="4" l="1"/>
  <c r="C16" i="4"/>
  <c r="C22" i="4" l="1"/>
  <c r="F22" i="4" l="1"/>
  <c r="I14" i="4"/>
  <c r="I22" i="4" s="1"/>
  <c r="C29" i="4" l="1"/>
  <c r="F29" i="4" s="1"/>
  <c r="I28" i="4" l="1"/>
  <c r="I29" i="4"/>
</calcChain>
</file>

<file path=xl/sharedStrings.xml><?xml version="1.0" encoding="utf-8"?>
<sst xmlns="http://schemas.openxmlformats.org/spreadsheetml/2006/main" count="450" uniqueCount="227">
  <si>
    <t>Název stavby:</t>
  </si>
  <si>
    <t>Druh stavby:</t>
  </si>
  <si>
    <t>Lokalita:</t>
  </si>
  <si>
    <t>JKSO:</t>
  </si>
  <si>
    <t>Č</t>
  </si>
  <si>
    <t xml:space="preserve">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</si>
  <si>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</si>
  <si>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</si>
  <si>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</si>
  <si>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</si>
  <si>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</si>
  <si>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</si>
  <si>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</si>
  <si>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</si>
  <si>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</si>
  <si>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</si>
  <si>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</si>
  <si>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</si>
  <si>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</si>
  <si>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</si>
  <si>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</si>
  <si>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</si>
  <si>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</si>
  <si>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</si>
  <si>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</si>
  <si>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</si>
  <si>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</si>
  <si>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</si>
  <si>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</si>
  <si>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</si>
  <si>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</si>
  <si>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</si>
  <si>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</si>
  <si>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34</t>
  </si>
  <si>
    <t>41</t>
  </si>
  <si>
    <t>63</t>
  </si>
  <si>
    <t>Poznámka:</t>
  </si>
  <si>
    <t>Položkový rozpočet je zpracován v rozsahu dodané projektové dokumentace. Slouží investorovi pouze pro výběr zhotovitele stavby, nikoli zhotoviteli pro závaznou smlouvu. V případě užití pro smlouvu je zhotovitel (či dodavatel stavby)  povinen zkontrolovat komplexnost výkazu výměr vzhledem k PD a případné rozdíly uvede pod čarou v rámci své nabídky.</t>
  </si>
  <si>
    <t>Objekt</t>
  </si>
  <si>
    <t>Kód</t>
  </si>
  <si>
    <t>347013121R00</t>
  </si>
  <si>
    <t>413941123RT4</t>
  </si>
  <si>
    <t>631313621R00</t>
  </si>
  <si>
    <t>631312621R00</t>
  </si>
  <si>
    <t>631319173R00</t>
  </si>
  <si>
    <t>631319171R00</t>
  </si>
  <si>
    <t>631361921RT4</t>
  </si>
  <si>
    <t>762</t>
  </si>
  <si>
    <t>762521811R00</t>
  </si>
  <si>
    <t>762331815R00</t>
  </si>
  <si>
    <t>998762103R00</t>
  </si>
  <si>
    <t>763</t>
  </si>
  <si>
    <t>763614131RT6</t>
  </si>
  <si>
    <t>998763101R00</t>
  </si>
  <si>
    <t>96</t>
  </si>
  <si>
    <t>965032131R00</t>
  </si>
  <si>
    <t>965042141RT1</t>
  </si>
  <si>
    <t>965082923R00</t>
  </si>
  <si>
    <t>962084131R00</t>
  </si>
  <si>
    <t>962032631R00</t>
  </si>
  <si>
    <t>962042321R00</t>
  </si>
  <si>
    <t>962031116R00</t>
  </si>
  <si>
    <t>968072455R00</t>
  </si>
  <si>
    <t>97</t>
  </si>
  <si>
    <t>973031345R00</t>
  </si>
  <si>
    <t>974031154R00</t>
  </si>
  <si>
    <t>H01</t>
  </si>
  <si>
    <t>998011003R00</t>
  </si>
  <si>
    <t>S</t>
  </si>
  <si>
    <t>979082111R00</t>
  </si>
  <si>
    <t>979081111R00</t>
  </si>
  <si>
    <t>979990101R00</t>
  </si>
  <si>
    <t>Stavební úpravy podkroví - MěÚ Broumov</t>
  </si>
  <si>
    <t>Broumov</t>
  </si>
  <si>
    <t>Zkrácený popis / Varianta</t>
  </si>
  <si>
    <t>Rozměry</t>
  </si>
  <si>
    <t>Stěny a příčky</t>
  </si>
  <si>
    <t>Předstěna SDK,tl.100-150 mm,1x ocel.kce C,1x RF (RFI u místností se zvýšenou vlhkostí) 12,5mm - nadezdívka</t>
  </si>
  <si>
    <t>vč. izolace tepelné tl. 100mm</t>
  </si>
  <si>
    <t>Stropy a stropní konstrukce (pro pozemní stavby)</t>
  </si>
  <si>
    <t>Osazení válcovaných nosníků ve stropech č. 14 - 22</t>
  </si>
  <si>
    <t>včetně dodávky profilu IPE č. 18x2</t>
  </si>
  <si>
    <t>Podlahy a podlahové konstrukce</t>
  </si>
  <si>
    <t>Mazanina betonová tl. 8 - 12 cm C 20/25</t>
  </si>
  <si>
    <t>ŽB hřebíková deska tl. 100mm</t>
  </si>
  <si>
    <t>Mazanina betonová tl. 5 - 8 cm C 20/25</t>
  </si>
  <si>
    <t>Příplatek za stržení povrchu mazaniny do tl. 12 cm</t>
  </si>
  <si>
    <t>Příplatek za stržení povrchu mazaniny do tl. 8 cm</t>
  </si>
  <si>
    <t>Výztuž mazanin svařovanou sítí</t>
  </si>
  <si>
    <t>průměr drátu  6,0, oka 100/100 mm</t>
  </si>
  <si>
    <t>Konstrukce tesařské</t>
  </si>
  <si>
    <t>Demontáž podlah bez polštářů z prken tl. do 3,2 cm</t>
  </si>
  <si>
    <t>Demontáž konstrukcí krovů z hranolů nad 450 cm2</t>
  </si>
  <si>
    <t>odst. vazného trámu v plné vazbě</t>
  </si>
  <si>
    <t>Přesun hmot pro tesařské konstrukce, výšky do 24 m</t>
  </si>
  <si>
    <t>Dřevostavby</t>
  </si>
  <si>
    <t>M.podlahy z desek do tl.18 mm, na sraz, šroubov.</t>
  </si>
  <si>
    <t>vč. dodávky desky OSB tl. 18 mm</t>
  </si>
  <si>
    <t>Přesun hmot pro dřevostavby, výšky do 12 m</t>
  </si>
  <si>
    <t>Bourání konstrukcí</t>
  </si>
  <si>
    <t>Bourání podlah z cihel na stojato, plochy nad 1 m2</t>
  </si>
  <si>
    <t>Bourání mazanin betonových tl. 10 cm, nad 4 m2</t>
  </si>
  <si>
    <t>ručně tl. mazaniny 5 - 8 cm, předpoklad cementový potěr do 5cm</t>
  </si>
  <si>
    <t>Odstranění násypu tl. do 10 cm, plocha nad 2 m2</t>
  </si>
  <si>
    <t>tl. 100mm</t>
  </si>
  <si>
    <t>Bourání příček deskových,sádrokartonových tl.10-15 cm</t>
  </si>
  <si>
    <t>Bourání příček deskových,sádrokartonových tl.10 cm</t>
  </si>
  <si>
    <t>Bourání zdiva komínového z cihel na MVC</t>
  </si>
  <si>
    <t>Bourání zdiva nadzákladového z betonu prostého - odst. betonových špalků</t>
  </si>
  <si>
    <t>Bourání příček z cihel pálených plných tl. do 140 mm</t>
  </si>
  <si>
    <t>Vybourání kovových dveřních zárubní pl. do 2 m2</t>
  </si>
  <si>
    <t>Prorážení otvorů a ostatní bourací práce</t>
  </si>
  <si>
    <t>Vysekání kapes zeď cih. MVC pl. 0,25 m2, hl. 30 cm</t>
  </si>
  <si>
    <t>pro osazení IPE profilů</t>
  </si>
  <si>
    <t>Vysekání rýh ve zdi cihelné 10 x 15 cm</t>
  </si>
  <si>
    <t>rýhy pro novou žb hřebíkovou desku</t>
  </si>
  <si>
    <t>Budovy občanské výstavby</t>
  </si>
  <si>
    <t>Přesun hmot pro budovy zděné výšky do 24 m</t>
  </si>
  <si>
    <t>Přesuny sutí</t>
  </si>
  <si>
    <t>Vnitrostaveništní doprava suti do 10 m</t>
  </si>
  <si>
    <t>Odvoz suti a vybour. hmot na skládku do 1 km</t>
  </si>
  <si>
    <t>Poplatek za skládku suti - směs betonu a cihel</t>
  </si>
  <si>
    <t>Doba výstavby:</t>
  </si>
  <si>
    <t>Začátek výstavby:</t>
  </si>
  <si>
    <t>Konec výstavby:</t>
  </si>
  <si>
    <t>Zpracováno dne:</t>
  </si>
  <si>
    <t>M.j.</t>
  </si>
  <si>
    <t>m2</t>
  </si>
  <si>
    <t>t</t>
  </si>
  <si>
    <t>m3</t>
  </si>
  <si>
    <t>kus</t>
  </si>
  <si>
    <t>m</t>
  </si>
  <si>
    <t>Množství</t>
  </si>
  <si>
    <t>Jednot.</t>
  </si>
  <si>
    <t>cena (Kč)</t>
  </si>
  <si>
    <t>Náklady (Kč)</t>
  </si>
  <si>
    <t>Dodávka</t>
  </si>
  <si>
    <t>Celkem:</t>
  </si>
  <si>
    <t>Objednatel:</t>
  </si>
  <si>
    <t>Projektant:</t>
  </si>
  <si>
    <t>Zhotovitel:</t>
  </si>
  <si>
    <t>Zpracoval:</t>
  </si>
  <si>
    <t>Montáž</t>
  </si>
  <si>
    <t>Celkem</t>
  </si>
  <si>
    <t>Hmotnost (t)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</si>
  <si>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</si>
  <si>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</si>
  <si>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</si>
  <si>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</si>
  <si>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</si>
  <si>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</si>
  <si>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</si>
  <si>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</si>
  <si>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</si>
  <si>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34_</t>
  </si>
  <si>
    <t>41_</t>
  </si>
  <si>
    <t>63_</t>
  </si>
  <si>
    <t>762_</t>
  </si>
  <si>
    <t>763_</t>
  </si>
  <si>
    <t>96_</t>
  </si>
  <si>
    <t>97_</t>
  </si>
  <si>
    <t>H01_</t>
  </si>
  <si>
    <t>S_</t>
  </si>
  <si>
    <t>3_</t>
  </si>
  <si>
    <t>4_</t>
  </si>
  <si>
    <t>6_</t>
  </si>
  <si>
    <t>76_</t>
  </si>
  <si>
    <t>9_</t>
  </si>
  <si>
    <t>_</t>
  </si>
  <si>
    <t>Zkrácený popis</t>
  </si>
  <si>
    <t>Náklady (Kč) - dodávka</t>
  </si>
  <si>
    <t>Náklady (Kč) - Montáž</t>
  </si>
  <si>
    <t>Náklady (Kč) - celkem</t>
  </si>
  <si>
    <t>Celková hmotnost (t)</t>
  </si>
  <si>
    <t>T</t>
  </si>
  <si>
    <t>Rozpočtové náklady v Kč</t>
  </si>
  <si>
    <t>A</t>
  </si>
  <si>
    <t>HSV</t>
  </si>
  <si>
    <t>PSV</t>
  </si>
  <si>
    <t>"M"</t>
  </si>
  <si>
    <t>Ostatní materiál</t>
  </si>
  <si>
    <t>Přesun hmot a sutí</t>
  </si>
  <si>
    <t>ZRN celkem</t>
  </si>
  <si>
    <t>Základ 0%</t>
  </si>
  <si>
    <t>Základ 15%</t>
  </si>
  <si>
    <t>Základ 21%</t>
  </si>
  <si>
    <t>Projektant</t>
  </si>
  <si>
    <t>Datum, razítko a podpis</t>
  </si>
  <si>
    <t>Základní rozpočtové náklady</t>
  </si>
  <si>
    <t>Dodávky</t>
  </si>
  <si>
    <t>Krycí list rozpočtu</t>
  </si>
  <si>
    <t>B</t>
  </si>
  <si>
    <t>Bez pevné podl.</t>
  </si>
  <si>
    <t>Kulturní památka</t>
  </si>
  <si>
    <t>DN celkem</t>
  </si>
  <si>
    <t>DN celkem z obj.</t>
  </si>
  <si>
    <t>DPH 15%</t>
  </si>
  <si>
    <t>DPH 21%</t>
  </si>
  <si>
    <t>Objednatel</t>
  </si>
  <si>
    <t>Doplňkové náklady</t>
  </si>
  <si>
    <t>C</t>
  </si>
  <si>
    <t>Zařízení staveniště</t>
  </si>
  <si>
    <t>Mimostav. doprava</t>
  </si>
  <si>
    <t>Územní vlivy</t>
  </si>
  <si>
    <t>Provozní vlivy</t>
  </si>
  <si>
    <t>Ostatní</t>
  </si>
  <si>
    <t>NUS z rozpočtu</t>
  </si>
  <si>
    <t>NUS celkem</t>
  </si>
  <si>
    <t>NUS celkem z obj.</t>
  </si>
  <si>
    <t>ORN celkem</t>
  </si>
  <si>
    <t>ORN celkem z obj.</t>
  </si>
  <si>
    <t>Celkem bez DPH</t>
  </si>
  <si>
    <t>Celkem včetně DPH</t>
  </si>
  <si>
    <t>Zhotovitel</t>
  </si>
  <si>
    <t>IČ/DIČ:</t>
  </si>
  <si>
    <t>Položek:</t>
  </si>
  <si>
    <t>Datum:</t>
  </si>
  <si>
    <t>Náklady na umístění stavby (NUS)</t>
  </si>
  <si>
    <t xml:space="preserve"> rozpočet</t>
  </si>
  <si>
    <t xml:space="preserve"> rozpočet - rekapitulace</t>
  </si>
  <si>
    <t>rekonstrukce podkroví - etapa 1</t>
  </si>
  <si>
    <t>94</t>
  </si>
  <si>
    <t>Lešení a stavební výtahy</t>
  </si>
  <si>
    <t>48</t>
  </si>
  <si>
    <t>941955001R00</t>
  </si>
  <si>
    <t>Lešení lehké pomocné, výška podlahy do 1,2 m</t>
  </si>
  <si>
    <t>94_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</si>
</sst>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"/>
    </font>
    <font>
      <sz val="10"/>
      <color indexed="8"/>
      <name val="Arial"/>
      <charset val="238"/>
    </font>
    <font>
      <sz val="18"/>
      <color indexed="8"/>
      <name val="Arial"/>
      <charset val="238"/>
    </font>
    <font>
      <b/>
      <sz val="10"/>
      <color indexed="8"/>
      <name val="Arial"/>
      <charset val="238"/>
    </font>
    <font>
      <sz val="10"/>
      <color indexed="56"/>
      <name val="Arial"/>
      <charset val="238"/>
    </font>
    <font>
      <sz val="10"/>
      <color indexed="61"/>
      <name val="Arial"/>
      <charset val="238"/>
    </font>
    <font>
      <i/>
      <sz val="8"/>
      <color indexed="8"/>
      <name val="Arial"/>
      <charset val="238"/>
    </font>
    <font>
      <b/>
      <sz val="10"/>
      <color indexed="56"/>
      <name val="Arial"/>
      <charset val="238"/>
    </font>
    <font>
      <sz val="10"/>
      <color indexed="59"/>
      <name val="Arial"/>
      <charset val="238"/>
    </font>
    <font>
      <b/>
      <sz val="18"/>
      <color indexed="8"/>
      <name val="Arial"/>
      <charset val="238"/>
    </font>
    <font>
      <b/>
      <sz val="20"/>
      <color indexed="8"/>
      <name val="Arial"/>
      <charset val="238"/>
    </font>
    <font>
      <b/>
      <sz val="12"/>
      <color indexed="8"/>
      <name val="Arial"/>
      <charset val="238"/>
    </font>
    <font>
      <sz val="12"/>
      <color indexed="8"/>
      <name val="Arial"/>
      <charset val="238"/>
    </font>
    <font>
      <b/>
      <sz val="11"/>
      <color indexed="8"/>
      <name val="Arial"/>
      <charset val="238"/>
    </font>
    <font>
      <sz val="24"/>
      <color indexed="8"/>
      <name val="Arial"/>
      <charset val="238"/>
    </font>
    <font>
      <sz val="8"/>
      <name val="Trebuchet MS"/>
      <charset val="238"/>
    </font>
    <font>
      <sz val="8"/>
      <name val="Trebuchet MS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8"/>
      <color theme="10"/>
      <name val="Trebuchet MS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57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8" fillId="0" borderId="0" applyNumberFormat="0" applyFill="0" applyBorder="0" applyAlignment="0" applyProtection="0">
      <alignment vertical="top" wrapText="1"/>
      <protection locked="0"/>
    </xf>
    <xf numFmtId="0" fontId="17" fillId="0" borderId="0"/>
    <xf numFmtId="0" fontId="15" fillId="0" borderId="0" applyAlignment="0">
      <alignment vertical="top" wrapText="1"/>
      <protection locked="0"/>
    </xf>
    <xf numFmtId="0" fontId="16" fillId="0" borderId="0" applyAlignment="0">
      <alignment vertical="top" wrapText="1"/>
      <protection locked="0"/>
    </xf>
  </cellStyleXfs>
  <cellXfs count="122"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49" fontId="5" fillId="0" borderId="3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49" fontId="6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49" fontId="7" fillId="2" borderId="0" xfId="0" applyNumberFormat="1" applyFont="1" applyFill="1" applyAlignment="1">
      <alignment horizontal="right"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49" fontId="5" fillId="0" borderId="0" xfId="0" applyNumberFormat="1" applyFont="1" applyAlignment="1">
      <alignment horizontal="right" vertical="center"/>
    </xf>
    <xf numFmtId="0" fontId="1" fillId="0" borderId="7" xfId="0" applyFont="1" applyBorder="1" applyAlignment="1">
      <alignment vertical="center"/>
    </xf>
    <xf numFmtId="4" fontId="1" fillId="0" borderId="0" xfId="0" applyNumberFormat="1" applyFont="1" applyAlignment="1">
      <alignment horizontal="right" vertical="center"/>
    </xf>
    <xf numFmtId="49" fontId="1" fillId="0" borderId="0" xfId="0" applyNumberFormat="1" applyFont="1" applyAlignment="1">
      <alignment horizontal="right" vertical="center"/>
    </xf>
    <xf numFmtId="4" fontId="7" fillId="2" borderId="0" xfId="0" applyNumberFormat="1" applyFont="1" applyFill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/>
    </xf>
    <xf numFmtId="49" fontId="3" fillId="0" borderId="8" xfId="0" applyNumberFormat="1" applyFont="1" applyBorder="1" applyAlignment="1">
      <alignment vertical="center"/>
    </xf>
    <xf numFmtId="49" fontId="1" fillId="0" borderId="2" xfId="0" applyNumberFormat="1" applyFont="1" applyBorder="1" applyAlignment="1">
      <alignment vertical="center"/>
    </xf>
    <xf numFmtId="49" fontId="3" fillId="0" borderId="9" xfId="0" applyNumberFormat="1" applyFont="1" applyBorder="1" applyAlignment="1">
      <alignment vertical="center"/>
    </xf>
    <xf numFmtId="49" fontId="3" fillId="0" borderId="10" xfId="0" applyNumberFormat="1" applyFont="1" applyBorder="1" applyAlignment="1">
      <alignment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49" fontId="3" fillId="0" borderId="8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49" fontId="10" fillId="3" borderId="12" xfId="0" applyNumberFormat="1" applyFont="1" applyFill="1" applyBorder="1" applyAlignment="1">
      <alignment horizontal="center" vertical="center"/>
    </xf>
    <xf numFmtId="49" fontId="11" fillId="0" borderId="13" xfId="0" applyNumberFormat="1" applyFont="1" applyBorder="1" applyAlignment="1">
      <alignment vertical="center"/>
    </xf>
    <xf numFmtId="49" fontId="11" fillId="0" borderId="14" xfId="0" applyNumberFormat="1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49" fontId="6" fillId="0" borderId="2" xfId="0" applyNumberFormat="1" applyFont="1" applyBorder="1" applyAlignment="1">
      <alignment vertical="center"/>
    </xf>
    <xf numFmtId="49" fontId="12" fillId="0" borderId="12" xfId="0" applyNumberFormat="1" applyFont="1" applyBorder="1" applyAlignment="1">
      <alignment vertical="center"/>
    </xf>
    <xf numFmtId="4" fontId="12" fillId="0" borderId="12" xfId="0" applyNumberFormat="1" applyFont="1" applyBorder="1" applyAlignment="1">
      <alignment horizontal="right" vertical="center"/>
    </xf>
    <xf numFmtId="49" fontId="12" fillId="0" borderId="12" xfId="0" applyNumberFormat="1" applyFont="1" applyBorder="1" applyAlignment="1">
      <alignment horizontal="right" vertical="center"/>
    </xf>
    <xf numFmtId="4" fontId="11" fillId="3" borderId="16" xfId="0" applyNumberFormat="1" applyFont="1" applyFill="1" applyBorder="1" applyAlignment="1">
      <alignment horizontal="right" vertical="center"/>
    </xf>
    <xf numFmtId="0" fontId="1" fillId="0" borderId="3" xfId="0" applyFont="1" applyBorder="1"/>
    <xf numFmtId="0" fontId="1" fillId="0" borderId="4" xfId="0" applyFont="1" applyBorder="1" applyAlignment="1">
      <alignment vertical="center" wrapText="1"/>
    </xf>
    <xf numFmtId="0" fontId="1" fillId="0" borderId="2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49" fontId="7" fillId="2" borderId="0" xfId="0" applyNumberFormat="1" applyFont="1" applyFill="1" applyAlignment="1">
      <alignment vertical="center"/>
    </xf>
    <xf numFmtId="49" fontId="3" fillId="0" borderId="29" xfId="0" applyNumberFormat="1" applyFont="1" applyBorder="1" applyAlignment="1">
      <alignment horizontal="center" vertical="center"/>
    </xf>
    <xf numFmtId="49" fontId="3" fillId="0" borderId="32" xfId="0" applyNumberFormat="1" applyFont="1" applyBorder="1" applyAlignment="1">
      <alignment vertical="center"/>
    </xf>
    <xf numFmtId="49" fontId="3" fillId="0" borderId="33" xfId="0" applyNumberFormat="1" applyFont="1" applyBorder="1" applyAlignment="1">
      <alignment vertical="center"/>
    </xf>
    <xf numFmtId="49" fontId="3" fillId="0" borderId="33" xfId="0" applyNumberFormat="1" applyFont="1" applyBorder="1" applyAlignment="1">
      <alignment horizontal="center" vertical="center"/>
    </xf>
    <xf numFmtId="49" fontId="1" fillId="0" borderId="32" xfId="0" applyNumberFormat="1" applyFont="1" applyBorder="1" applyAlignment="1">
      <alignment vertical="center"/>
    </xf>
    <xf numFmtId="49" fontId="1" fillId="0" borderId="33" xfId="0" applyNumberFormat="1" applyFont="1" applyBorder="1" applyAlignment="1">
      <alignment vertical="center"/>
    </xf>
    <xf numFmtId="49" fontId="3" fillId="0" borderId="34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49" fontId="3" fillId="0" borderId="35" xfId="0" applyNumberFormat="1" applyFont="1" applyBorder="1" applyAlignment="1">
      <alignment horizontal="center" vertical="center"/>
    </xf>
    <xf numFmtId="49" fontId="4" fillId="2" borderId="17" xfId="0" applyNumberFormat="1" applyFont="1" applyFill="1" applyBorder="1" applyAlignment="1">
      <alignment vertical="center"/>
    </xf>
    <xf numFmtId="49" fontId="7" fillId="2" borderId="4" xfId="0" applyNumberFormat="1" applyFont="1" applyFill="1" applyBorder="1" applyAlignment="1">
      <alignment vertical="center"/>
    </xf>
    <xf numFmtId="49" fontId="4" fillId="2" borderId="4" xfId="0" applyNumberFormat="1" applyFont="1" applyFill="1" applyBorder="1" applyAlignment="1">
      <alignment vertical="center"/>
    </xf>
    <xf numFmtId="4" fontId="7" fillId="2" borderId="4" xfId="0" applyNumberFormat="1" applyFont="1" applyFill="1" applyBorder="1" applyAlignment="1">
      <alignment horizontal="right" vertical="center"/>
    </xf>
    <xf numFmtId="49" fontId="7" fillId="2" borderId="4" xfId="0" applyNumberFormat="1" applyFont="1" applyFill="1" applyBorder="1" applyAlignment="1">
      <alignment horizontal="right" vertical="center"/>
    </xf>
    <xf numFmtId="4" fontId="7" fillId="2" borderId="5" xfId="0" applyNumberFormat="1" applyFont="1" applyFill="1" applyBorder="1" applyAlignment="1">
      <alignment horizontal="right" vertical="center"/>
    </xf>
    <xf numFmtId="49" fontId="5" fillId="0" borderId="1" xfId="0" applyNumberFormat="1" applyFont="1" applyBorder="1" applyAlignment="1">
      <alignment vertical="center"/>
    </xf>
    <xf numFmtId="49" fontId="5" fillId="0" borderId="0" xfId="0" applyNumberFormat="1" applyFont="1" applyAlignment="1">
      <alignment vertical="center"/>
    </xf>
    <xf numFmtId="4" fontId="5" fillId="0" borderId="6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 wrapText="1"/>
    </xf>
    <xf numFmtId="49" fontId="4" fillId="2" borderId="1" xfId="0" applyNumberFormat="1" applyFont="1" applyFill="1" applyBorder="1" applyAlignment="1">
      <alignment vertical="center"/>
    </xf>
    <xf numFmtId="49" fontId="4" fillId="2" borderId="0" xfId="0" applyNumberFormat="1" applyFont="1" applyFill="1" applyAlignment="1">
      <alignment vertical="center"/>
    </xf>
    <xf numFmtId="4" fontId="7" fillId="2" borderId="6" xfId="0" applyNumberFormat="1" applyFont="1" applyFill="1" applyBorder="1" applyAlignment="1">
      <alignment horizontal="right" vertical="center"/>
    </xf>
    <xf numFmtId="49" fontId="5" fillId="0" borderId="11" xfId="0" applyNumberFormat="1" applyFont="1" applyBorder="1" applyAlignment="1">
      <alignment vertical="center"/>
    </xf>
    <xf numFmtId="4" fontId="5" fillId="0" borderId="21" xfId="0" applyNumberFormat="1" applyFont="1" applyBorder="1" applyAlignment="1">
      <alignment horizontal="right" vertical="center"/>
    </xf>
    <xf numFmtId="49" fontId="7" fillId="0" borderId="0" xfId="0" applyNumberFormat="1" applyFont="1" applyAlignment="1">
      <alignment horizontal="right" vertical="center"/>
    </xf>
    <xf numFmtId="4" fontId="5" fillId="4" borderId="0" xfId="0" applyNumberFormat="1" applyFont="1" applyFill="1" applyAlignment="1">
      <alignment horizontal="right" vertical="center"/>
    </xf>
    <xf numFmtId="4" fontId="5" fillId="4" borderId="3" xfId="0" applyNumberFormat="1" applyFont="1" applyFill="1" applyBorder="1" applyAlignment="1">
      <alignment horizontal="right" vertical="center"/>
    </xf>
    <xf numFmtId="49" fontId="12" fillId="0" borderId="7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26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49" fontId="12" fillId="0" borderId="27" xfId="0" applyNumberFormat="1" applyFont="1" applyBorder="1" applyAlignment="1">
      <alignment vertical="center"/>
    </xf>
    <xf numFmtId="0" fontId="12" fillId="0" borderId="19" xfId="0" applyFont="1" applyBorder="1" applyAlignment="1">
      <alignment vertical="center"/>
    </xf>
    <xf numFmtId="0" fontId="12" fillId="0" borderId="28" xfId="0" applyFont="1" applyBorder="1" applyAlignment="1">
      <alignment vertical="center"/>
    </xf>
    <xf numFmtId="49" fontId="12" fillId="0" borderId="24" xfId="0" applyNumberFormat="1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25" xfId="0" applyFont="1" applyBorder="1" applyAlignment="1">
      <alignment vertical="center"/>
    </xf>
    <xf numFmtId="49" fontId="11" fillId="3" borderId="23" xfId="0" applyNumberFormat="1" applyFont="1" applyFill="1" applyBorder="1" applyAlignment="1">
      <alignment vertical="center"/>
    </xf>
    <xf numFmtId="0" fontId="11" fillId="3" borderId="22" xfId="0" applyFont="1" applyFill="1" applyBorder="1" applyAlignment="1">
      <alignment vertical="center"/>
    </xf>
    <xf numFmtId="49" fontId="11" fillId="0" borderId="23" xfId="0" applyNumberFormat="1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49" fontId="12" fillId="0" borderId="23" xfId="0" applyNumberFormat="1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49" fontId="9" fillId="0" borderId="22" xfId="0" applyNumberFormat="1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49" fontId="13" fillId="0" borderId="23" xfId="0" applyNumberFormat="1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49" fontId="1" fillId="0" borderId="6" xfId="0" applyNumberFormat="1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49" fontId="1" fillId="0" borderId="0" xfId="0" applyNumberFormat="1" applyFont="1" applyAlignment="1">
      <alignment vertical="center"/>
    </xf>
    <xf numFmtId="0" fontId="1" fillId="0" borderId="6" xfId="0" applyFont="1" applyBorder="1" applyAlignment="1">
      <alignment vertical="center" wrapText="1"/>
    </xf>
    <xf numFmtId="0" fontId="1" fillId="0" borderId="2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" fillId="0" borderId="17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4" xfId="0" applyFont="1" applyBorder="1" applyAlignment="1">
      <alignment vertical="center" wrapText="1"/>
    </xf>
    <xf numFmtId="49" fontId="1" fillId="0" borderId="5" xfId="0" applyNumberFormat="1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49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49" fontId="3" fillId="0" borderId="30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49" fontId="1" fillId="0" borderId="4" xfId="0" applyNumberFormat="1" applyFont="1" applyBorder="1" applyAlignment="1">
      <alignment vertical="center"/>
    </xf>
    <xf numFmtId="49" fontId="1" fillId="0" borderId="17" xfId="0" applyNumberFormat="1" applyFont="1" applyBorder="1" applyAlignment="1">
      <alignment vertical="center"/>
    </xf>
  </cellXfs>
  <cellStyles count="5">
    <cellStyle name="Hypertextový odkaz 2" xfId="1"/>
    <cellStyle name="Normální" xfId="0" builtinId="0"/>
    <cellStyle name="Normální 2" xfId="2"/>
    <cellStyle name="Normální 3" xfId="3"/>
    <cellStyle name="Normální 4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000000"/>
      <rgbColor rgb="00DBDBDB"/>
      <rgbColor rgb="00000000"/>
      <rgbColor rgb="00C0C0C0"/>
      <rgbColor rgb="00000000"/>
      <rgbColor rgb="00C0C0C0"/>
      <rgbColor rgb="00000000"/>
      <rgbColor rgb="00000000"/>
      <rgbColor rgb="00000000"/>
      <rgbColor rgb="00000000"/>
      <rgbColor rgb="00000000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showGridLines="0" workbookViewId="0">
      <selection activeCell="L24" sqref="L24"/>
    </sheetView>
  </sheetViews>
  <sheetFormatPr defaultColWidth="11.5703125" defaultRowHeight="12.75" x14ac:dyDescent="0.2"/>
  <cols>
    <col min="1" max="1" width="9.140625" customWidth="1"/>
    <col min="2" max="2" width="12.85546875" customWidth="1"/>
    <col min="3" max="3" width="22.85546875" customWidth="1"/>
    <col min="4" max="4" width="10" customWidth="1"/>
    <col min="5" max="5" width="14" customWidth="1"/>
    <col min="6" max="6" width="22.85546875" customWidth="1"/>
    <col min="7" max="7" width="9.140625" customWidth="1"/>
    <col min="8" max="8" width="12.85546875" customWidth="1"/>
    <col min="9" max="9" width="22.85546875" customWidth="1"/>
  </cols>
  <sheetData>
    <row r="1" spans="1:10" ht="72.95" customHeight="1" x14ac:dyDescent="0.2">
      <c r="A1" s="38"/>
      <c r="B1" s="27"/>
      <c r="C1" s="100" t="s">
        <v>190</v>
      </c>
      <c r="D1" s="101"/>
      <c r="E1" s="101"/>
      <c r="F1" s="101"/>
      <c r="G1" s="101"/>
      <c r="H1" s="101"/>
      <c r="I1" s="101"/>
    </row>
    <row r="2" spans="1:10" x14ac:dyDescent="0.2">
      <c r="A2" s="102" t="s">
        <v>0</v>
      </c>
      <c r="B2" s="103"/>
      <c r="C2" s="104" t="str">
        <f>'Položkový rozpočet'!D2</f>
        <v>Stavební úpravy podkroví - MěÚ Broumov</v>
      </c>
      <c r="D2" s="105"/>
      <c r="E2" s="107" t="s">
        <v>138</v>
      </c>
      <c r="F2" s="107" t="str">
        <f>'Položkový rozpočet'!J2</f>
        <v xml:space="preserve"> </v>
      </c>
      <c r="G2" s="103"/>
      <c r="H2" s="107" t="s">
        <v>214</v>
      </c>
      <c r="I2" s="108"/>
      <c r="J2" s="1"/>
    </row>
    <row r="3" spans="1:10" x14ac:dyDescent="0.2">
      <c r="A3" s="99"/>
      <c r="B3" s="74"/>
      <c r="C3" s="106"/>
      <c r="D3" s="106"/>
      <c r="E3" s="74"/>
      <c r="F3" s="74"/>
      <c r="G3" s="74"/>
      <c r="H3" s="74"/>
      <c r="I3" s="92"/>
      <c r="J3" s="1"/>
    </row>
    <row r="4" spans="1:10" x14ac:dyDescent="0.2">
      <c r="A4" s="93" t="s">
        <v>1</v>
      </c>
      <c r="B4" s="74"/>
      <c r="C4" s="73" t="str">
        <f>'Položkový rozpočet'!D4</f>
        <v>rekonstrukce podkroví - etapa 1</v>
      </c>
      <c r="D4" s="74"/>
      <c r="E4" s="73" t="s">
        <v>139</v>
      </c>
      <c r="F4" s="73"/>
      <c r="G4" s="74"/>
      <c r="H4" s="73" t="s">
        <v>214</v>
      </c>
      <c r="I4" s="91"/>
      <c r="J4" s="1"/>
    </row>
    <row r="5" spans="1:10" x14ac:dyDescent="0.2">
      <c r="A5" s="99"/>
      <c r="B5" s="74"/>
      <c r="C5" s="74"/>
      <c r="D5" s="74"/>
      <c r="E5" s="74"/>
      <c r="F5" s="74"/>
      <c r="G5" s="74"/>
      <c r="H5" s="74"/>
      <c r="I5" s="92"/>
      <c r="J5" s="1"/>
    </row>
    <row r="6" spans="1:10" x14ac:dyDescent="0.2">
      <c r="A6" s="93" t="s">
        <v>2</v>
      </c>
      <c r="B6" s="74"/>
      <c r="C6" s="73" t="str">
        <f>'Položkový rozpočet'!D6</f>
        <v>Broumov</v>
      </c>
      <c r="D6" s="74"/>
      <c r="E6" s="73" t="s">
        <v>140</v>
      </c>
      <c r="F6" s="73" t="str">
        <f>'Položkový rozpočet'!J6</f>
        <v xml:space="preserve"> </v>
      </c>
      <c r="G6" s="74"/>
      <c r="H6" s="73" t="s">
        <v>214</v>
      </c>
      <c r="I6" s="91"/>
      <c r="J6" s="1"/>
    </row>
    <row r="7" spans="1:10" x14ac:dyDescent="0.2">
      <c r="A7" s="99"/>
      <c r="B7" s="74"/>
      <c r="C7" s="74"/>
      <c r="D7" s="74"/>
      <c r="E7" s="74"/>
      <c r="F7" s="74"/>
      <c r="G7" s="74"/>
      <c r="H7" s="74"/>
      <c r="I7" s="92"/>
      <c r="J7" s="1"/>
    </row>
    <row r="8" spans="1:10" x14ac:dyDescent="0.2">
      <c r="A8" s="93" t="s">
        <v>123</v>
      </c>
      <c r="B8" s="74"/>
      <c r="C8" s="73" t="str">
        <f>'Položkový rozpočet'!G4</f>
        <v xml:space="preserve"> </v>
      </c>
      <c r="D8" s="74"/>
      <c r="E8" s="73" t="s">
        <v>124</v>
      </c>
      <c r="F8" s="73" t="str">
        <f>'Položkový rozpočet'!G6</f>
        <v xml:space="preserve"> </v>
      </c>
      <c r="G8" s="74"/>
      <c r="H8" s="96" t="s">
        <v>215</v>
      </c>
      <c r="I8" s="91"/>
      <c r="J8" s="1"/>
    </row>
    <row r="9" spans="1:10" x14ac:dyDescent="0.2">
      <c r="A9" s="99"/>
      <c r="B9" s="74"/>
      <c r="C9" s="74"/>
      <c r="D9" s="74"/>
      <c r="E9" s="74"/>
      <c r="F9" s="74"/>
      <c r="G9" s="74"/>
      <c r="H9" s="74"/>
      <c r="I9" s="92"/>
      <c r="J9" s="1"/>
    </row>
    <row r="10" spans="1:10" x14ac:dyDescent="0.2">
      <c r="A10" s="93" t="s">
        <v>3</v>
      </c>
      <c r="B10" s="74"/>
      <c r="C10" s="73" t="str">
        <f>'Položkový rozpočet'!D8</f>
        <v xml:space="preserve"> </v>
      </c>
      <c r="D10" s="74"/>
      <c r="E10" s="73" t="s">
        <v>141</v>
      </c>
      <c r="F10" s="73"/>
      <c r="G10" s="74"/>
      <c r="H10" s="96" t="s">
        <v>216</v>
      </c>
      <c r="I10" s="97"/>
      <c r="J10" s="1"/>
    </row>
    <row r="11" spans="1:10" x14ac:dyDescent="0.2">
      <c r="A11" s="94"/>
      <c r="B11" s="95"/>
      <c r="C11" s="95"/>
      <c r="D11" s="95"/>
      <c r="E11" s="95"/>
      <c r="F11" s="95"/>
      <c r="G11" s="95"/>
      <c r="H11" s="95"/>
      <c r="I11" s="98"/>
      <c r="J11" s="1"/>
    </row>
    <row r="12" spans="1:10" ht="23.45" customHeight="1" x14ac:dyDescent="0.2">
      <c r="A12" s="87" t="s">
        <v>175</v>
      </c>
      <c r="B12" s="88"/>
      <c r="C12" s="88"/>
      <c r="D12" s="88"/>
      <c r="E12" s="88"/>
      <c r="F12" s="88"/>
      <c r="G12" s="88"/>
      <c r="H12" s="88"/>
      <c r="I12" s="88"/>
    </row>
    <row r="13" spans="1:10" ht="26.45" customHeight="1" x14ac:dyDescent="0.2">
      <c r="A13" s="29" t="s">
        <v>176</v>
      </c>
      <c r="B13" s="89" t="s">
        <v>188</v>
      </c>
      <c r="C13" s="90"/>
      <c r="D13" s="29" t="s">
        <v>191</v>
      </c>
      <c r="E13" s="89" t="s">
        <v>199</v>
      </c>
      <c r="F13" s="90"/>
      <c r="G13" s="29" t="s">
        <v>200</v>
      </c>
      <c r="H13" s="89" t="s">
        <v>217</v>
      </c>
      <c r="I13" s="90"/>
      <c r="J13" s="1"/>
    </row>
    <row r="14" spans="1:10" ht="15.2" customHeight="1" x14ac:dyDescent="0.2">
      <c r="A14" s="30" t="s">
        <v>177</v>
      </c>
      <c r="B14" s="34" t="s">
        <v>189</v>
      </c>
      <c r="C14" s="35">
        <f>SUM('Položkový rozpočet'!R12:R59)</f>
        <v>0</v>
      </c>
      <c r="D14" s="85"/>
      <c r="E14" s="86"/>
      <c r="F14" s="35"/>
      <c r="G14" s="85" t="s">
        <v>201</v>
      </c>
      <c r="H14" s="86"/>
      <c r="I14" s="35">
        <f>ROUND(C22*(2.5/100),2)</f>
        <v>0</v>
      </c>
      <c r="J14" s="1"/>
    </row>
    <row r="15" spans="1:10" ht="15.2" customHeight="1" x14ac:dyDescent="0.2">
      <c r="A15" s="31"/>
      <c r="B15" s="34" t="s">
        <v>142</v>
      </c>
      <c r="C15" s="35">
        <f>SUM('Položkový rozpočet'!S12:S59)</f>
        <v>0</v>
      </c>
      <c r="D15" s="85" t="s">
        <v>192</v>
      </c>
      <c r="E15" s="86"/>
      <c r="F15" s="35">
        <v>0</v>
      </c>
      <c r="G15" s="85" t="s">
        <v>202</v>
      </c>
      <c r="H15" s="86"/>
      <c r="I15" s="35">
        <v>0</v>
      </c>
      <c r="J15" s="1"/>
    </row>
    <row r="16" spans="1:10" ht="15.2" customHeight="1" x14ac:dyDescent="0.2">
      <c r="A16" s="30" t="s">
        <v>178</v>
      </c>
      <c r="B16" s="34" t="s">
        <v>189</v>
      </c>
      <c r="C16" s="35">
        <f>SUM('Položkový rozpočet'!T12:T59)</f>
        <v>0</v>
      </c>
      <c r="D16" s="85" t="s">
        <v>193</v>
      </c>
      <c r="E16" s="86"/>
      <c r="F16" s="35">
        <v>0</v>
      </c>
      <c r="G16" s="85" t="s">
        <v>203</v>
      </c>
      <c r="H16" s="86"/>
      <c r="I16" s="35">
        <v>0</v>
      </c>
      <c r="J16" s="1"/>
    </row>
    <row r="17" spans="1:10" ht="15.2" customHeight="1" x14ac:dyDescent="0.2">
      <c r="A17" s="31"/>
      <c r="B17" s="34" t="s">
        <v>142</v>
      </c>
      <c r="C17" s="35">
        <f>SUM('Položkový rozpočet'!U12:U59)</f>
        <v>0</v>
      </c>
      <c r="D17" s="85"/>
      <c r="E17" s="86"/>
      <c r="F17" s="36"/>
      <c r="G17" s="85" t="s">
        <v>204</v>
      </c>
      <c r="H17" s="86"/>
      <c r="I17" s="35">
        <v>0</v>
      </c>
      <c r="J17" s="1"/>
    </row>
    <row r="18" spans="1:10" ht="15.2" customHeight="1" x14ac:dyDescent="0.2">
      <c r="A18" s="30" t="s">
        <v>179</v>
      </c>
      <c r="B18" s="34" t="s">
        <v>189</v>
      </c>
      <c r="C18" s="35">
        <f>SUM('Položkový rozpočet'!V12:V59)</f>
        <v>0</v>
      </c>
      <c r="D18" s="85"/>
      <c r="E18" s="86"/>
      <c r="F18" s="36"/>
      <c r="G18" s="85" t="s">
        <v>205</v>
      </c>
      <c r="H18" s="86"/>
      <c r="I18" s="35">
        <v>0</v>
      </c>
      <c r="J18" s="1"/>
    </row>
    <row r="19" spans="1:10" ht="15.2" customHeight="1" x14ac:dyDescent="0.2">
      <c r="A19" s="31"/>
      <c r="B19" s="34" t="s">
        <v>142</v>
      </c>
      <c r="C19" s="35">
        <f>SUM('Položkový rozpočet'!W12:W59)</f>
        <v>0</v>
      </c>
      <c r="D19" s="85"/>
      <c r="E19" s="86"/>
      <c r="F19" s="36"/>
      <c r="G19" s="85" t="s">
        <v>206</v>
      </c>
      <c r="H19" s="86"/>
      <c r="I19" s="35">
        <v>0</v>
      </c>
      <c r="J19" s="1"/>
    </row>
    <row r="20" spans="1:10" ht="15.2" customHeight="1" x14ac:dyDescent="0.2">
      <c r="A20" s="83" t="s">
        <v>180</v>
      </c>
      <c r="B20" s="84"/>
      <c r="C20" s="35">
        <f>SUM('Položkový rozpočet'!X12:X59)</f>
        <v>0</v>
      </c>
      <c r="D20" s="85"/>
      <c r="E20" s="86"/>
      <c r="F20" s="36"/>
      <c r="G20" s="85"/>
      <c r="H20" s="86"/>
      <c r="I20" s="36"/>
      <c r="J20" s="1"/>
    </row>
    <row r="21" spans="1:10" ht="15.2" customHeight="1" x14ac:dyDescent="0.2">
      <c r="A21" s="83" t="s">
        <v>181</v>
      </c>
      <c r="B21" s="84"/>
      <c r="C21" s="35">
        <f>SUM('Položkový rozpočet'!P12:P59)</f>
        <v>0</v>
      </c>
      <c r="D21" s="85"/>
      <c r="E21" s="86"/>
      <c r="F21" s="36"/>
      <c r="G21" s="85"/>
      <c r="H21" s="86"/>
      <c r="I21" s="36"/>
      <c r="J21" s="1"/>
    </row>
    <row r="22" spans="1:10" ht="16.7" customHeight="1" x14ac:dyDescent="0.2">
      <c r="A22" s="83" t="s">
        <v>182</v>
      </c>
      <c r="B22" s="84"/>
      <c r="C22" s="35">
        <f>SUM(C14:C21)</f>
        <v>0</v>
      </c>
      <c r="D22" s="83" t="s">
        <v>194</v>
      </c>
      <c r="E22" s="84"/>
      <c r="F22" s="35">
        <f>SUM(F14:F21)</f>
        <v>0</v>
      </c>
      <c r="G22" s="83" t="s">
        <v>207</v>
      </c>
      <c r="H22" s="84"/>
      <c r="I22" s="35">
        <f>SUM(I14:I21)</f>
        <v>0</v>
      </c>
      <c r="J22" s="1"/>
    </row>
    <row r="23" spans="1:10" ht="15.2" customHeight="1" x14ac:dyDescent="0.2">
      <c r="A23" s="3"/>
      <c r="B23" s="3"/>
      <c r="C23" s="9"/>
      <c r="D23" s="83" t="s">
        <v>195</v>
      </c>
      <c r="E23" s="84"/>
      <c r="F23" s="35">
        <v>0</v>
      </c>
      <c r="G23" s="83" t="s">
        <v>208</v>
      </c>
      <c r="H23" s="84"/>
      <c r="I23" s="35">
        <v>0</v>
      </c>
      <c r="J23" s="1"/>
    </row>
    <row r="24" spans="1:10" ht="15.2" customHeight="1" x14ac:dyDescent="0.2">
      <c r="D24" s="3"/>
      <c r="E24" s="3"/>
      <c r="F24" s="10"/>
      <c r="G24" s="83" t="s">
        <v>209</v>
      </c>
      <c r="H24" s="84"/>
      <c r="I24" s="35">
        <v>0</v>
      </c>
      <c r="J24" s="1"/>
    </row>
    <row r="25" spans="1:10" ht="15.2" customHeight="1" x14ac:dyDescent="0.2">
      <c r="F25" s="10"/>
      <c r="G25" s="83" t="s">
        <v>210</v>
      </c>
      <c r="H25" s="84"/>
      <c r="I25" s="35">
        <v>0</v>
      </c>
      <c r="J25" s="1"/>
    </row>
    <row r="26" spans="1:10" x14ac:dyDescent="0.2">
      <c r="A26" s="27"/>
      <c r="B26" s="27"/>
      <c r="C26" s="27"/>
      <c r="G26" s="3"/>
      <c r="H26" s="3"/>
      <c r="I26" s="3"/>
    </row>
    <row r="27" spans="1:10" ht="15.2" customHeight="1" x14ac:dyDescent="0.2">
      <c r="A27" s="81" t="s">
        <v>183</v>
      </c>
      <c r="B27" s="82"/>
      <c r="C27" s="37">
        <f>SUM('Položkový rozpočet'!Z12:Z59)</f>
        <v>0</v>
      </c>
      <c r="D27" s="28"/>
      <c r="E27" s="27"/>
      <c r="F27" s="27"/>
      <c r="G27" s="27"/>
      <c r="H27" s="27"/>
      <c r="I27" s="27"/>
    </row>
    <row r="28" spans="1:10" ht="15.2" customHeight="1" x14ac:dyDescent="0.2">
      <c r="A28" s="81" t="s">
        <v>184</v>
      </c>
      <c r="B28" s="82"/>
      <c r="C28" s="37">
        <f>SUM('Položkový rozpočet'!AA12:AA59)</f>
        <v>0</v>
      </c>
      <c r="D28" s="81" t="s">
        <v>196</v>
      </c>
      <c r="E28" s="82"/>
      <c r="F28" s="37">
        <f>ROUND(C28*(15/100),2)</f>
        <v>0</v>
      </c>
      <c r="G28" s="81" t="s">
        <v>211</v>
      </c>
      <c r="H28" s="82"/>
      <c r="I28" s="37">
        <f>SUM(C27:C29)</f>
        <v>0</v>
      </c>
      <c r="J28" s="1"/>
    </row>
    <row r="29" spans="1:10" ht="15.2" customHeight="1" x14ac:dyDescent="0.2">
      <c r="A29" s="81" t="s">
        <v>185</v>
      </c>
      <c r="B29" s="82"/>
      <c r="C29" s="37">
        <f>SUM('Položkový rozpočet'!AB12:AB59)+(F22+I22+F23+I23+I24+I25)</f>
        <v>0</v>
      </c>
      <c r="D29" s="81" t="s">
        <v>197</v>
      </c>
      <c r="E29" s="82"/>
      <c r="F29" s="37">
        <f>ROUND(C29*(21/100),2)</f>
        <v>0</v>
      </c>
      <c r="G29" s="81" t="s">
        <v>212</v>
      </c>
      <c r="H29" s="82"/>
      <c r="I29" s="37">
        <f>SUM(F28:F29)+I28</f>
        <v>0</v>
      </c>
      <c r="J29" s="1"/>
    </row>
    <row r="30" spans="1:10" x14ac:dyDescent="0.2">
      <c r="A30" s="32"/>
      <c r="B30" s="32"/>
      <c r="C30" s="32"/>
      <c r="D30" s="32"/>
      <c r="E30" s="32"/>
      <c r="F30" s="32"/>
      <c r="G30" s="32"/>
      <c r="H30" s="32"/>
      <c r="I30" s="32"/>
    </row>
    <row r="31" spans="1:10" ht="14.45" customHeight="1" x14ac:dyDescent="0.2">
      <c r="A31" s="78" t="s">
        <v>186</v>
      </c>
      <c r="B31" s="79"/>
      <c r="C31" s="80"/>
      <c r="D31" s="78" t="s">
        <v>198</v>
      </c>
      <c r="E31" s="79"/>
      <c r="F31" s="80"/>
      <c r="G31" s="78" t="s">
        <v>213</v>
      </c>
      <c r="H31" s="79"/>
      <c r="I31" s="80"/>
      <c r="J31" s="12"/>
    </row>
    <row r="32" spans="1:10" ht="14.45" customHeight="1" x14ac:dyDescent="0.2">
      <c r="A32" s="70"/>
      <c r="B32" s="71"/>
      <c r="C32" s="72"/>
      <c r="D32" s="70"/>
      <c r="E32" s="71"/>
      <c r="F32" s="72"/>
      <c r="G32" s="70"/>
      <c r="H32" s="71"/>
      <c r="I32" s="72"/>
      <c r="J32" s="12"/>
    </row>
    <row r="33" spans="1:10" ht="14.45" customHeight="1" x14ac:dyDescent="0.2">
      <c r="A33" s="70"/>
      <c r="B33" s="71"/>
      <c r="C33" s="72"/>
      <c r="D33" s="70"/>
      <c r="E33" s="71"/>
      <c r="F33" s="72"/>
      <c r="G33" s="70"/>
      <c r="H33" s="71"/>
      <c r="I33" s="72"/>
      <c r="J33" s="12"/>
    </row>
    <row r="34" spans="1:10" ht="14.45" customHeight="1" x14ac:dyDescent="0.2">
      <c r="A34" s="70"/>
      <c r="B34" s="71"/>
      <c r="C34" s="72"/>
      <c r="D34" s="70"/>
      <c r="E34" s="71"/>
      <c r="F34" s="72"/>
      <c r="G34" s="70"/>
      <c r="H34" s="71"/>
      <c r="I34" s="72"/>
      <c r="J34" s="12"/>
    </row>
    <row r="35" spans="1:10" ht="14.45" customHeight="1" x14ac:dyDescent="0.2">
      <c r="A35" s="75" t="s">
        <v>187</v>
      </c>
      <c r="B35" s="76"/>
      <c r="C35" s="77"/>
      <c r="D35" s="75" t="s">
        <v>187</v>
      </c>
      <c r="E35" s="76"/>
      <c r="F35" s="77"/>
      <c r="G35" s="75" t="s">
        <v>187</v>
      </c>
      <c r="H35" s="76"/>
      <c r="I35" s="77"/>
      <c r="J35" s="12"/>
    </row>
    <row r="36" spans="1:10" ht="11.25" customHeight="1" x14ac:dyDescent="0.2">
      <c r="A36" s="33" t="s">
        <v>36</v>
      </c>
      <c r="B36" s="26"/>
      <c r="C36" s="26"/>
      <c r="D36" s="26"/>
      <c r="E36" s="26"/>
      <c r="F36" s="26"/>
      <c r="G36" s="26"/>
      <c r="H36" s="26"/>
      <c r="I36" s="26"/>
    </row>
    <row r="37" spans="1:10" ht="38.450000000000003" customHeight="1" x14ac:dyDescent="0.2">
      <c r="A37" s="73" t="s">
        <v>37</v>
      </c>
      <c r="B37" s="74"/>
      <c r="C37" s="74"/>
      <c r="D37" s="74"/>
      <c r="E37" s="74"/>
      <c r="F37" s="74"/>
      <c r="G37" s="74"/>
      <c r="H37" s="74"/>
      <c r="I37" s="74"/>
    </row>
  </sheetData>
  <mergeCells count="83">
    <mergeCell ref="C1:I1"/>
    <mergeCell ref="A2:B3"/>
    <mergeCell ref="C2:D3"/>
    <mergeCell ref="E2:E3"/>
    <mergeCell ref="F2:G3"/>
    <mergeCell ref="H2:H3"/>
    <mergeCell ref="I2:I3"/>
    <mergeCell ref="I4:I5"/>
    <mergeCell ref="A6:B7"/>
    <mergeCell ref="C6:D7"/>
    <mergeCell ref="E6:E7"/>
    <mergeCell ref="F6:G7"/>
    <mergeCell ref="H6:H7"/>
    <mergeCell ref="I6:I7"/>
    <mergeCell ref="A4:B5"/>
    <mergeCell ref="C4:D5"/>
    <mergeCell ref="E4:E5"/>
    <mergeCell ref="F4:G5"/>
    <mergeCell ref="H4:H5"/>
    <mergeCell ref="I8:I9"/>
    <mergeCell ref="A10:B11"/>
    <mergeCell ref="C10:D11"/>
    <mergeCell ref="E10:E11"/>
    <mergeCell ref="F10:G11"/>
    <mergeCell ref="H10:H11"/>
    <mergeCell ref="I10:I11"/>
    <mergeCell ref="A8:B9"/>
    <mergeCell ref="C8:D9"/>
    <mergeCell ref="E8:E9"/>
    <mergeCell ref="F8:G9"/>
    <mergeCell ref="H8:H9"/>
    <mergeCell ref="A12:I12"/>
    <mergeCell ref="B13:C13"/>
    <mergeCell ref="E13:F13"/>
    <mergeCell ref="H13:I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A20:B20"/>
    <mergeCell ref="D20:E20"/>
    <mergeCell ref="G20:H20"/>
    <mergeCell ref="A21:B21"/>
    <mergeCell ref="D21:E21"/>
    <mergeCell ref="G21:H21"/>
    <mergeCell ref="A22:B22"/>
    <mergeCell ref="D22:E22"/>
    <mergeCell ref="G22:H22"/>
    <mergeCell ref="D23:E23"/>
    <mergeCell ref="G23:H23"/>
    <mergeCell ref="G24:H24"/>
    <mergeCell ref="G25:H25"/>
    <mergeCell ref="A27:B27"/>
    <mergeCell ref="A28:B28"/>
    <mergeCell ref="D28:E28"/>
    <mergeCell ref="G28:H28"/>
    <mergeCell ref="A29:B29"/>
    <mergeCell ref="D29:E29"/>
    <mergeCell ref="G29:H29"/>
    <mergeCell ref="A31:C31"/>
    <mergeCell ref="D31:F31"/>
    <mergeCell ref="G31:I31"/>
    <mergeCell ref="A32:C32"/>
    <mergeCell ref="D32:F32"/>
    <mergeCell ref="G32:I32"/>
    <mergeCell ref="A33:C33"/>
    <mergeCell ref="D33:F33"/>
    <mergeCell ref="G33:I33"/>
    <mergeCell ref="A37:I37"/>
    <mergeCell ref="A34:C34"/>
    <mergeCell ref="D34:F34"/>
    <mergeCell ref="G34:I34"/>
    <mergeCell ref="A35:C35"/>
    <mergeCell ref="D35:F35"/>
    <mergeCell ref="G35:I35"/>
  </mergeCells>
  <pageMargins left="0.39400000000000002" right="0.39400000000000002" top="0.59099999999999997" bottom="0.59099999999999997" header="0.5" footer="0.5"/>
  <pageSetup paperSize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showGridLines="0" workbookViewId="0">
      <pane ySplit="10" topLeftCell="A11" activePane="bottomLeft" state="frozenSplit"/>
      <selection pane="bottomLeft" activeCell="F23" sqref="F23"/>
    </sheetView>
  </sheetViews>
  <sheetFormatPr defaultColWidth="11.5703125" defaultRowHeight="12.75" x14ac:dyDescent="0.2"/>
  <cols>
    <col min="1" max="2" width="16.5703125" customWidth="1"/>
    <col min="3" max="3" width="41.7109375" customWidth="1"/>
    <col min="4" max="4" width="22.140625" customWidth="1"/>
    <col min="5" max="5" width="21" customWidth="1"/>
    <col min="6" max="6" width="20.85546875" customWidth="1"/>
    <col min="7" max="7" width="19.7109375" customWidth="1"/>
    <col min="8" max="9" width="11.5703125" hidden="1" customWidth="1"/>
  </cols>
  <sheetData>
    <row r="1" spans="1:9" ht="72.95" customHeight="1" x14ac:dyDescent="0.35">
      <c r="A1" s="112" t="s">
        <v>219</v>
      </c>
      <c r="B1" s="113"/>
      <c r="C1" s="113"/>
      <c r="D1" s="113"/>
      <c r="E1" s="113"/>
      <c r="F1" s="113"/>
      <c r="G1" s="113"/>
    </row>
    <row r="2" spans="1:9" x14ac:dyDescent="0.2">
      <c r="A2" s="102" t="s">
        <v>0</v>
      </c>
      <c r="B2" s="104" t="str">
        <f>'Položkový rozpočet'!D2</f>
        <v>Stavební úpravy podkroví - MěÚ Broumov</v>
      </c>
      <c r="C2" s="105"/>
      <c r="D2" s="107" t="s">
        <v>138</v>
      </c>
      <c r="E2" s="107" t="str">
        <f>'Položkový rozpočet'!J2</f>
        <v xml:space="preserve"> </v>
      </c>
      <c r="F2" s="103"/>
      <c r="G2" s="114"/>
      <c r="H2" s="1"/>
    </row>
    <row r="3" spans="1:9" x14ac:dyDescent="0.2">
      <c r="A3" s="99"/>
      <c r="B3" s="106"/>
      <c r="C3" s="106"/>
      <c r="D3" s="74"/>
      <c r="E3" s="74"/>
      <c r="F3" s="74"/>
      <c r="G3" s="92"/>
      <c r="H3" s="1"/>
    </row>
    <row r="4" spans="1:9" x14ac:dyDescent="0.2">
      <c r="A4" s="93" t="s">
        <v>1</v>
      </c>
      <c r="B4" s="73" t="str">
        <f>'Položkový rozpočet'!D4</f>
        <v>rekonstrukce podkroví - etapa 1</v>
      </c>
      <c r="C4" s="74"/>
      <c r="D4" s="73" t="s">
        <v>139</v>
      </c>
      <c r="E4" s="73"/>
      <c r="F4" s="74"/>
      <c r="G4" s="92"/>
      <c r="H4" s="1"/>
    </row>
    <row r="5" spans="1:9" x14ac:dyDescent="0.2">
      <c r="A5" s="99"/>
      <c r="B5" s="74"/>
      <c r="C5" s="74"/>
      <c r="D5" s="74"/>
      <c r="E5" s="74"/>
      <c r="F5" s="74"/>
      <c r="G5" s="92"/>
      <c r="H5" s="1"/>
    </row>
    <row r="6" spans="1:9" x14ac:dyDescent="0.2">
      <c r="A6" s="93" t="s">
        <v>2</v>
      </c>
      <c r="B6" s="73" t="str">
        <f>'Položkový rozpočet'!D6</f>
        <v>Broumov</v>
      </c>
      <c r="C6" s="74"/>
      <c r="D6" s="73" t="s">
        <v>140</v>
      </c>
      <c r="E6" s="73" t="str">
        <f>'Položkový rozpočet'!J6</f>
        <v xml:space="preserve"> </v>
      </c>
      <c r="F6" s="74"/>
      <c r="G6" s="92"/>
      <c r="H6" s="1"/>
    </row>
    <row r="7" spans="1:9" x14ac:dyDescent="0.2">
      <c r="A7" s="99"/>
      <c r="B7" s="74"/>
      <c r="C7" s="74"/>
      <c r="D7" s="74"/>
      <c r="E7" s="74"/>
      <c r="F7" s="74"/>
      <c r="G7" s="92"/>
      <c r="H7" s="1"/>
    </row>
    <row r="8" spans="1:9" x14ac:dyDescent="0.2">
      <c r="A8" s="93" t="s">
        <v>141</v>
      </c>
      <c r="B8" s="73"/>
      <c r="C8" s="74"/>
      <c r="D8" s="96" t="s">
        <v>125</v>
      </c>
      <c r="E8" s="73"/>
      <c r="F8" s="74"/>
      <c r="G8" s="92"/>
      <c r="H8" s="1"/>
    </row>
    <row r="9" spans="1:9" x14ac:dyDescent="0.2">
      <c r="A9" s="109"/>
      <c r="B9" s="110"/>
      <c r="C9" s="110"/>
      <c r="D9" s="110"/>
      <c r="E9" s="110"/>
      <c r="F9" s="110"/>
      <c r="G9" s="111"/>
      <c r="H9" s="1"/>
    </row>
    <row r="10" spans="1:9" x14ac:dyDescent="0.2">
      <c r="A10" s="17" t="s">
        <v>38</v>
      </c>
      <c r="B10" s="19" t="s">
        <v>39</v>
      </c>
      <c r="C10" s="20" t="s">
        <v>169</v>
      </c>
      <c r="D10" s="21" t="s">
        <v>170</v>
      </c>
      <c r="E10" s="21" t="s">
        <v>171</v>
      </c>
      <c r="F10" s="21" t="s">
        <v>172</v>
      </c>
      <c r="G10" s="23" t="s">
        <v>173</v>
      </c>
      <c r="H10" s="12"/>
    </row>
    <row r="11" spans="1:9" x14ac:dyDescent="0.2">
      <c r="A11" s="18"/>
      <c r="B11" s="18" t="s">
        <v>33</v>
      </c>
      <c r="C11" s="18" t="s">
        <v>76</v>
      </c>
      <c r="D11" s="24">
        <f>'Položkový rozpočet'!H12</f>
        <v>0</v>
      </c>
      <c r="E11" s="24">
        <f>'Položkový rozpočet'!I12</f>
        <v>0</v>
      </c>
      <c r="F11" s="24">
        <f t="shared" ref="F11:F20" si="0">D11+E11</f>
        <v>0</v>
      </c>
      <c r="G11" s="24">
        <f>'Položkový rozpočet'!L12</f>
        <v>1.0229239999999999</v>
      </c>
      <c r="H11" s="13" t="s">
        <v>174</v>
      </c>
      <c r="I11" s="13">
        <f t="shared" ref="I11:I20" si="1">IF(H11="F",0,F11)</f>
        <v>0</v>
      </c>
    </row>
    <row r="12" spans="1:9" x14ac:dyDescent="0.2">
      <c r="A12" s="5"/>
      <c r="B12" s="5" t="s">
        <v>34</v>
      </c>
      <c r="C12" s="5" t="s">
        <v>79</v>
      </c>
      <c r="D12" s="13">
        <f>'Položkový rozpočet'!H15</f>
        <v>0</v>
      </c>
      <c r="E12" s="13">
        <f>'Položkový rozpočet'!I15</f>
        <v>0</v>
      </c>
      <c r="F12" s="13">
        <f t="shared" si="0"/>
        <v>0</v>
      </c>
      <c r="G12" s="13">
        <f>'Položkový rozpočet'!L15</f>
        <v>2.0318360640000002</v>
      </c>
      <c r="H12" s="13" t="s">
        <v>174</v>
      </c>
      <c r="I12" s="13">
        <f t="shared" si="1"/>
        <v>0</v>
      </c>
    </row>
    <row r="13" spans="1:9" x14ac:dyDescent="0.2">
      <c r="A13" s="5"/>
      <c r="B13" s="5" t="s">
        <v>35</v>
      </c>
      <c r="C13" s="5" t="s">
        <v>82</v>
      </c>
      <c r="D13" s="13">
        <f>'Položkový rozpočet'!H18</f>
        <v>0</v>
      </c>
      <c r="E13" s="13">
        <f>'Položkový rozpočet'!I18</f>
        <v>0</v>
      </c>
      <c r="F13" s="13">
        <f t="shared" si="0"/>
        <v>0</v>
      </c>
      <c r="G13" s="13">
        <f>'Položkový rozpočet'!L18</f>
        <v>78.787989499999995</v>
      </c>
      <c r="H13" s="13" t="s">
        <v>174</v>
      </c>
      <c r="I13" s="13">
        <f t="shared" si="1"/>
        <v>0</v>
      </c>
    </row>
    <row r="14" spans="1:9" x14ac:dyDescent="0.2">
      <c r="A14" s="5"/>
      <c r="B14" s="5" t="s">
        <v>47</v>
      </c>
      <c r="C14" s="5" t="s">
        <v>90</v>
      </c>
      <c r="D14" s="13">
        <f>'Položkový rozpočet'!H26</f>
        <v>0</v>
      </c>
      <c r="E14" s="13">
        <f>'Položkový rozpočet'!I26</f>
        <v>0</v>
      </c>
      <c r="F14" s="13">
        <f t="shared" si="0"/>
        <v>0</v>
      </c>
      <c r="G14" s="13">
        <f>'Položkový rozpočet'!L26</f>
        <v>4.5840000000000005</v>
      </c>
      <c r="H14" s="13" t="s">
        <v>174</v>
      </c>
      <c r="I14" s="13">
        <f t="shared" si="1"/>
        <v>0</v>
      </c>
    </row>
    <row r="15" spans="1:9" x14ac:dyDescent="0.2">
      <c r="A15" s="5"/>
      <c r="B15" s="5" t="s">
        <v>51</v>
      </c>
      <c r="C15" s="5" t="s">
        <v>95</v>
      </c>
      <c r="D15" s="13">
        <f>'Položkový rozpočet'!H31</f>
        <v>0</v>
      </c>
      <c r="E15" s="13">
        <f>'Položkový rozpočet'!I31</f>
        <v>0</v>
      </c>
      <c r="F15" s="13">
        <f t="shared" si="0"/>
        <v>0</v>
      </c>
      <c r="G15" s="13">
        <f>'Položkový rozpočet'!L31</f>
        <v>2.4894799999999999</v>
      </c>
      <c r="H15" s="13" t="s">
        <v>174</v>
      </c>
      <c r="I15" s="13">
        <f t="shared" si="1"/>
        <v>0</v>
      </c>
    </row>
    <row r="16" spans="1:9" x14ac:dyDescent="0.2">
      <c r="A16" s="5"/>
      <c r="B16" s="5" t="s">
        <v>54</v>
      </c>
      <c r="C16" s="5" t="s">
        <v>99</v>
      </c>
      <c r="D16" s="13">
        <f>'Položkový rozpočet'!H35</f>
        <v>0</v>
      </c>
      <c r="E16" s="13">
        <f>'Položkový rozpočet'!I35</f>
        <v>0</v>
      </c>
      <c r="F16" s="13">
        <f t="shared" si="0"/>
        <v>0</v>
      </c>
      <c r="G16" s="13">
        <f>'Položkový rozpočet'!L35</f>
        <v>171.01385110250004</v>
      </c>
      <c r="H16" s="13" t="s">
        <v>174</v>
      </c>
      <c r="I16" s="13">
        <f t="shared" si="1"/>
        <v>0</v>
      </c>
    </row>
    <row r="17" spans="1:9" x14ac:dyDescent="0.2">
      <c r="A17" s="5"/>
      <c r="B17" s="5" t="s">
        <v>221</v>
      </c>
      <c r="C17" s="5" t="s">
        <v>222</v>
      </c>
      <c r="D17" s="13">
        <f>'Položkový rozpočet'!H47</f>
        <v>0</v>
      </c>
      <c r="E17" s="13">
        <f>'Položkový rozpočet'!I47</f>
        <v>0</v>
      </c>
      <c r="F17" s="13">
        <f t="shared" si="0"/>
        <v>0</v>
      </c>
      <c r="G17" s="13">
        <f>'Položkový rozpočet'!L47</f>
        <v>0.33274999999999999</v>
      </c>
      <c r="H17" s="13" t="s">
        <v>174</v>
      </c>
      <c r="I17" s="13">
        <f t="shared" si="1"/>
        <v>0</v>
      </c>
    </row>
    <row r="18" spans="1:9" x14ac:dyDescent="0.2">
      <c r="A18" s="5"/>
      <c r="B18" s="5" t="s">
        <v>63</v>
      </c>
      <c r="C18" s="5" t="s">
        <v>111</v>
      </c>
      <c r="D18" s="13">
        <f>'Položkový rozpočet'!H49</f>
        <v>0</v>
      </c>
      <c r="E18" s="13">
        <f>'Položkový rozpočet'!I49</f>
        <v>0</v>
      </c>
      <c r="F18" s="13">
        <f t="shared" si="0"/>
        <v>0</v>
      </c>
      <c r="G18" s="13">
        <f>'Položkový rozpočet'!L49</f>
        <v>3.4648370000000002</v>
      </c>
      <c r="H18" s="13" t="s">
        <v>174</v>
      </c>
      <c r="I18" s="13">
        <f t="shared" si="1"/>
        <v>0</v>
      </c>
    </row>
    <row r="19" spans="1:9" x14ac:dyDescent="0.2">
      <c r="A19" s="5"/>
      <c r="B19" s="5" t="s">
        <v>66</v>
      </c>
      <c r="C19" s="5" t="s">
        <v>116</v>
      </c>
      <c r="D19" s="13">
        <f>'Položkový rozpočet'!H54</f>
        <v>0</v>
      </c>
      <c r="E19" s="13">
        <f>'Položkový rozpočet'!I54</f>
        <v>0</v>
      </c>
      <c r="F19" s="13">
        <f t="shared" si="0"/>
        <v>0</v>
      </c>
      <c r="G19" s="13">
        <f>'Položkový rozpočet'!L54</f>
        <v>0</v>
      </c>
      <c r="H19" s="13" t="s">
        <v>174</v>
      </c>
      <c r="I19" s="13">
        <f t="shared" si="1"/>
        <v>0</v>
      </c>
    </row>
    <row r="20" spans="1:9" x14ac:dyDescent="0.2">
      <c r="A20" s="5"/>
      <c r="B20" s="5" t="s">
        <v>68</v>
      </c>
      <c r="C20" s="5" t="s">
        <v>118</v>
      </c>
      <c r="D20" s="13">
        <f>'Položkový rozpočet'!H56</f>
        <v>0</v>
      </c>
      <c r="E20" s="13">
        <f>'Položkový rozpočet'!I56</f>
        <v>0</v>
      </c>
      <c r="F20" s="13">
        <f t="shared" si="0"/>
        <v>0</v>
      </c>
      <c r="G20" s="13">
        <f>'Položkový rozpočet'!L56</f>
        <v>0</v>
      </c>
      <c r="H20" s="13" t="s">
        <v>174</v>
      </c>
      <c r="I20" s="13">
        <f t="shared" si="1"/>
        <v>0</v>
      </c>
    </row>
    <row r="22" spans="1:9" x14ac:dyDescent="0.2">
      <c r="E22" s="22" t="s">
        <v>137</v>
      </c>
      <c r="F22" s="25">
        <f>SUM(I11:I20)</f>
        <v>0</v>
      </c>
    </row>
  </sheetData>
  <mergeCells count="17">
    <mergeCell ref="A1:G1"/>
    <mergeCell ref="A2:A3"/>
    <mergeCell ref="B2:C3"/>
    <mergeCell ref="D2:D3"/>
    <mergeCell ref="E2:G3"/>
    <mergeCell ref="A8:A9"/>
    <mergeCell ref="B8:C9"/>
    <mergeCell ref="D8:D9"/>
    <mergeCell ref="E8:G9"/>
    <mergeCell ref="A4:A5"/>
    <mergeCell ref="B4:C5"/>
    <mergeCell ref="D4:D5"/>
    <mergeCell ref="E4:G5"/>
    <mergeCell ref="A6:A7"/>
    <mergeCell ref="B6:C7"/>
    <mergeCell ref="D6:D7"/>
    <mergeCell ref="E6:G7"/>
  </mergeCells>
  <pageMargins left="0.39400000000000002" right="0.39400000000000002" top="0.59099999999999997" bottom="0.59099999999999997" header="0.5" footer="0.5"/>
  <pageSetup paperSize="0" fitToHeight="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62"/>
  <sheetViews>
    <sheetView showGridLines="0" tabSelected="1" workbookViewId="0">
      <pane ySplit="11" topLeftCell="A12" activePane="bottomLeft" state="frozenSplit"/>
      <selection pane="bottomLeft" activeCell="L37" sqref="L37"/>
    </sheetView>
  </sheetViews>
  <sheetFormatPr defaultColWidth="11.5703125" defaultRowHeight="12.75" x14ac:dyDescent="0.2"/>
  <cols>
    <col min="1" max="1" width="3.7109375" customWidth="1"/>
    <col min="2" max="2" width="6.85546875" customWidth="1"/>
    <col min="3" max="3" width="13.28515625" customWidth="1"/>
    <col min="4" max="4" width="93.85546875" customWidth="1"/>
    <col min="5" max="5" width="5.85546875" customWidth="1"/>
    <col min="6" max="6" width="12.85546875" customWidth="1"/>
    <col min="7" max="7" width="12" customWidth="1"/>
    <col min="8" max="10" width="14.28515625" customWidth="1"/>
    <col min="11" max="12" width="11.7109375" customWidth="1"/>
    <col min="13" max="14" width="11.5703125" hidden="1" customWidth="1"/>
    <col min="15" max="48" width="12.140625" hidden="1" customWidth="1"/>
    <col min="49" max="49" width="11.5703125" customWidth="1"/>
  </cols>
  <sheetData>
    <row r="1" spans="1:48" ht="72.95" customHeight="1" x14ac:dyDescent="0.35">
      <c r="A1" s="112" t="s">
        <v>218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</row>
    <row r="2" spans="1:48" x14ac:dyDescent="0.2">
      <c r="A2" s="102" t="s">
        <v>0</v>
      </c>
      <c r="B2" s="103"/>
      <c r="C2" s="103"/>
      <c r="D2" s="104" t="s">
        <v>72</v>
      </c>
      <c r="E2" s="120" t="s">
        <v>122</v>
      </c>
      <c r="F2" s="114"/>
      <c r="G2" s="121" t="s">
        <v>5</v>
      </c>
      <c r="H2" s="103"/>
      <c r="I2" s="107" t="s">
        <v>138</v>
      </c>
      <c r="J2" s="39" t="s">
        <v>5</v>
      </c>
      <c r="K2" s="3"/>
      <c r="L2" s="9"/>
      <c r="M2" s="1"/>
    </row>
    <row r="3" spans="1:48" x14ac:dyDescent="0.2">
      <c r="A3" s="99"/>
      <c r="B3" s="74"/>
      <c r="C3" s="74"/>
      <c r="D3" s="106"/>
      <c r="E3" s="74"/>
      <c r="F3" s="92"/>
      <c r="G3" s="99"/>
      <c r="H3" s="74"/>
      <c r="I3" s="74"/>
      <c r="L3" s="10"/>
      <c r="M3" s="1"/>
    </row>
    <row r="4" spans="1:48" ht="12.6" customHeight="1" x14ac:dyDescent="0.2">
      <c r="A4" s="93" t="s">
        <v>1</v>
      </c>
      <c r="B4" s="74"/>
      <c r="C4" s="74"/>
      <c r="D4" s="73" t="s">
        <v>220</v>
      </c>
      <c r="E4" s="96" t="s">
        <v>123</v>
      </c>
      <c r="F4" s="92"/>
      <c r="G4" s="119" t="s">
        <v>5</v>
      </c>
      <c r="H4" s="74"/>
      <c r="I4" s="73" t="s">
        <v>139</v>
      </c>
      <c r="J4" s="41"/>
      <c r="L4" s="10"/>
      <c r="M4" s="1"/>
    </row>
    <row r="5" spans="1:48" x14ac:dyDescent="0.2">
      <c r="A5" s="99"/>
      <c r="B5" s="74"/>
      <c r="C5" s="74"/>
      <c r="D5" s="74"/>
      <c r="E5" s="74"/>
      <c r="F5" s="92"/>
      <c r="G5" s="99"/>
      <c r="H5" s="74"/>
      <c r="I5" s="74"/>
      <c r="L5" s="10"/>
      <c r="M5" s="1"/>
    </row>
    <row r="6" spans="1:48" x14ac:dyDescent="0.2">
      <c r="A6" s="93" t="s">
        <v>2</v>
      </c>
      <c r="B6" s="74"/>
      <c r="C6" s="74"/>
      <c r="D6" s="73" t="s">
        <v>73</v>
      </c>
      <c r="E6" s="96" t="s">
        <v>124</v>
      </c>
      <c r="F6" s="92"/>
      <c r="G6" s="119" t="s">
        <v>5</v>
      </c>
      <c r="H6" s="74"/>
      <c r="I6" s="73" t="s">
        <v>140</v>
      </c>
      <c r="J6" s="41" t="s">
        <v>5</v>
      </c>
      <c r="L6" s="10"/>
      <c r="M6" s="1"/>
    </row>
    <row r="7" spans="1:48" x14ac:dyDescent="0.2">
      <c r="A7" s="99"/>
      <c r="B7" s="74"/>
      <c r="C7" s="74"/>
      <c r="D7" s="74"/>
      <c r="E7" s="74"/>
      <c r="F7" s="92"/>
      <c r="G7" s="99"/>
      <c r="H7" s="74"/>
      <c r="I7" s="74"/>
      <c r="L7" s="10"/>
      <c r="M7" s="1"/>
    </row>
    <row r="8" spans="1:48" x14ac:dyDescent="0.2">
      <c r="A8" s="93" t="s">
        <v>3</v>
      </c>
      <c r="B8" s="74"/>
      <c r="C8" s="74"/>
      <c r="D8" s="73" t="s">
        <v>5</v>
      </c>
      <c r="E8" s="96" t="s">
        <v>125</v>
      </c>
      <c r="F8" s="92"/>
      <c r="G8" s="119"/>
      <c r="H8" s="74"/>
      <c r="I8" s="73" t="s">
        <v>141</v>
      </c>
      <c r="J8" s="41"/>
      <c r="L8" s="10"/>
      <c r="M8" s="1"/>
    </row>
    <row r="9" spans="1:48" x14ac:dyDescent="0.2">
      <c r="A9" s="94"/>
      <c r="B9" s="95"/>
      <c r="C9" s="95"/>
      <c r="D9" s="95"/>
      <c r="E9" s="95"/>
      <c r="F9" s="98"/>
      <c r="G9" s="94"/>
      <c r="H9" s="95"/>
      <c r="I9" s="95"/>
      <c r="J9" s="27"/>
      <c r="K9" s="27"/>
      <c r="L9" s="40"/>
      <c r="M9" s="1"/>
    </row>
    <row r="10" spans="1:48" x14ac:dyDescent="0.2">
      <c r="A10" s="44" t="s">
        <v>4</v>
      </c>
      <c r="B10" s="45" t="s">
        <v>38</v>
      </c>
      <c r="C10" s="45" t="s">
        <v>39</v>
      </c>
      <c r="D10" s="45" t="s">
        <v>74</v>
      </c>
      <c r="E10" s="45" t="s">
        <v>126</v>
      </c>
      <c r="F10" s="46" t="s">
        <v>132</v>
      </c>
      <c r="G10" s="43" t="s">
        <v>133</v>
      </c>
      <c r="H10" s="115" t="s">
        <v>135</v>
      </c>
      <c r="I10" s="116"/>
      <c r="J10" s="117"/>
      <c r="K10" s="115" t="s">
        <v>144</v>
      </c>
      <c r="L10" s="117"/>
      <c r="M10" s="12"/>
    </row>
    <row r="11" spans="1:48" x14ac:dyDescent="0.2">
      <c r="A11" s="47" t="s">
        <v>5</v>
      </c>
      <c r="B11" s="48" t="s">
        <v>5</v>
      </c>
      <c r="C11" s="48" t="s">
        <v>5</v>
      </c>
      <c r="D11" s="45" t="s">
        <v>75</v>
      </c>
      <c r="E11" s="48" t="s">
        <v>5</v>
      </c>
      <c r="F11" s="48" t="s">
        <v>5</v>
      </c>
      <c r="G11" s="43" t="s">
        <v>134</v>
      </c>
      <c r="H11" s="49" t="s">
        <v>136</v>
      </c>
      <c r="I11" s="50" t="s">
        <v>142</v>
      </c>
      <c r="J11" s="51" t="s">
        <v>143</v>
      </c>
      <c r="K11" s="49" t="s">
        <v>133</v>
      </c>
      <c r="L11" s="51" t="s">
        <v>143</v>
      </c>
      <c r="M11" s="12"/>
      <c r="P11" s="8" t="s">
        <v>145</v>
      </c>
      <c r="Q11" s="8" t="s">
        <v>146</v>
      </c>
      <c r="R11" s="8" t="s">
        <v>147</v>
      </c>
      <c r="S11" s="8" t="s">
        <v>148</v>
      </c>
      <c r="T11" s="8" t="s">
        <v>149</v>
      </c>
      <c r="U11" s="8" t="s">
        <v>150</v>
      </c>
      <c r="V11" s="8" t="s">
        <v>151</v>
      </c>
      <c r="W11" s="8" t="s">
        <v>152</v>
      </c>
      <c r="X11" s="8" t="s">
        <v>153</v>
      </c>
    </row>
    <row r="12" spans="1:48" x14ac:dyDescent="0.2">
      <c r="A12" s="52"/>
      <c r="B12" s="53"/>
      <c r="C12" s="53" t="s">
        <v>33</v>
      </c>
      <c r="D12" s="53" t="s">
        <v>76</v>
      </c>
      <c r="E12" s="54" t="s">
        <v>5</v>
      </c>
      <c r="F12" s="54" t="s">
        <v>5</v>
      </c>
      <c r="G12" s="54" t="s">
        <v>5</v>
      </c>
      <c r="H12" s="55">
        <f>SUM(H13:H14)</f>
        <v>0</v>
      </c>
      <c r="I12" s="55">
        <f>SUM(I13:I14)</f>
        <v>0</v>
      </c>
      <c r="J12" s="55">
        <f>H12+I12</f>
        <v>0</v>
      </c>
      <c r="K12" s="56"/>
      <c r="L12" s="57">
        <f>SUM(L13:L14)</f>
        <v>1.0229239999999999</v>
      </c>
      <c r="Y12" s="8"/>
      <c r="AI12" s="15">
        <f>SUM(Z13:Z14)</f>
        <v>0</v>
      </c>
      <c r="AJ12" s="15">
        <f>SUM(AA13:AA14)</f>
        <v>0</v>
      </c>
      <c r="AK12" s="15">
        <f>SUM(AB13:AB14)</f>
        <v>0</v>
      </c>
    </row>
    <row r="13" spans="1:48" x14ac:dyDescent="0.2">
      <c r="A13" s="58" t="s">
        <v>6</v>
      </c>
      <c r="B13" s="59"/>
      <c r="C13" s="59" t="s">
        <v>40</v>
      </c>
      <c r="D13" s="59" t="s">
        <v>77</v>
      </c>
      <c r="E13" s="59" t="s">
        <v>127</v>
      </c>
      <c r="F13" s="6">
        <v>83.3</v>
      </c>
      <c r="G13" s="68"/>
      <c r="H13" s="6">
        <f>F13*AE13</f>
        <v>0</v>
      </c>
      <c r="I13" s="6">
        <f>J13-H13</f>
        <v>0</v>
      </c>
      <c r="J13" s="6">
        <f>F13*G13</f>
        <v>0</v>
      </c>
      <c r="K13" s="6">
        <v>1.2279999999999999E-2</v>
      </c>
      <c r="L13" s="60">
        <f>F13*K13</f>
        <v>1.0229239999999999</v>
      </c>
      <c r="P13" s="13">
        <f>IF(AG13="5",J13,0)</f>
        <v>0</v>
      </c>
      <c r="R13" s="13">
        <f>IF(AG13="1",H13,0)</f>
        <v>0</v>
      </c>
      <c r="S13" s="13">
        <f>IF(AG13="1",I13,0)</f>
        <v>0</v>
      </c>
      <c r="T13" s="13">
        <f>IF(AG13="7",H13,0)</f>
        <v>0</v>
      </c>
      <c r="U13" s="13">
        <f>IF(AG13="7",I13,0)</f>
        <v>0</v>
      </c>
      <c r="V13" s="13">
        <f>IF(AG13="2",H13,0)</f>
        <v>0</v>
      </c>
      <c r="W13" s="13">
        <f>IF(AG13="2",I13,0)</f>
        <v>0</v>
      </c>
      <c r="X13" s="13">
        <f>IF(AG13="0",J13,0)</f>
        <v>0</v>
      </c>
      <c r="Y13" s="8"/>
      <c r="Z13" s="6">
        <f>IF(AD13=0,J13,0)</f>
        <v>0</v>
      </c>
      <c r="AA13" s="6">
        <f>IF(AD13=15,J13,0)</f>
        <v>0</v>
      </c>
      <c r="AB13" s="6">
        <f>IF(AD13=21,J13,0)</f>
        <v>0</v>
      </c>
      <c r="AD13" s="13">
        <v>21</v>
      </c>
      <c r="AE13" s="13">
        <f>G13*0.342568493150685</f>
        <v>0</v>
      </c>
      <c r="AF13" s="13">
        <f>G13*(1-0.342568493150685)</f>
        <v>0</v>
      </c>
      <c r="AG13" s="11" t="s">
        <v>6</v>
      </c>
      <c r="AM13" s="13">
        <f>F13*AE13</f>
        <v>0</v>
      </c>
      <c r="AN13" s="13">
        <f>F13*AF13</f>
        <v>0</v>
      </c>
      <c r="AO13" s="14" t="s">
        <v>154</v>
      </c>
      <c r="AP13" s="14" t="s">
        <v>163</v>
      </c>
      <c r="AQ13" s="8" t="s">
        <v>168</v>
      </c>
      <c r="AS13" s="13">
        <f>AM13+AN13</f>
        <v>0</v>
      </c>
      <c r="AT13" s="13">
        <f>G13/(100-AU13)*100</f>
        <v>0</v>
      </c>
      <c r="AU13" s="13">
        <v>0</v>
      </c>
      <c r="AV13" s="13">
        <f>L13</f>
        <v>1.0229239999999999</v>
      </c>
    </row>
    <row r="14" spans="1:48" x14ac:dyDescent="0.2">
      <c r="A14" s="1"/>
      <c r="D14" s="61" t="s">
        <v>78</v>
      </c>
      <c r="L14" s="10"/>
    </row>
    <row r="15" spans="1:48" x14ac:dyDescent="0.2">
      <c r="A15" s="62"/>
      <c r="B15" s="42"/>
      <c r="C15" s="42" t="s">
        <v>34</v>
      </c>
      <c r="D15" s="42" t="s">
        <v>79</v>
      </c>
      <c r="E15" s="63" t="s">
        <v>5</v>
      </c>
      <c r="F15" s="63" t="s">
        <v>5</v>
      </c>
      <c r="G15" s="63" t="s">
        <v>5</v>
      </c>
      <c r="H15" s="15">
        <f>SUM(H16:H17)</f>
        <v>0</v>
      </c>
      <c r="I15" s="15">
        <f>SUM(I16:I17)</f>
        <v>0</v>
      </c>
      <c r="J15" s="15">
        <f>H15+I15</f>
        <v>0</v>
      </c>
      <c r="K15" s="8"/>
      <c r="L15" s="64">
        <f>SUM(L16:L17)</f>
        <v>2.0318360640000002</v>
      </c>
      <c r="Y15" s="8"/>
      <c r="AI15" s="15">
        <f>SUM(Z16:Z17)</f>
        <v>0</v>
      </c>
      <c r="AJ15" s="15">
        <f>SUM(AA16:AA17)</f>
        <v>0</v>
      </c>
      <c r="AK15" s="15">
        <f>SUM(AB16:AB17)</f>
        <v>0</v>
      </c>
    </row>
    <row r="16" spans="1:48" x14ac:dyDescent="0.2">
      <c r="A16" s="58" t="s">
        <v>7</v>
      </c>
      <c r="B16" s="59"/>
      <c r="C16" s="59" t="s">
        <v>41</v>
      </c>
      <c r="D16" s="59" t="s">
        <v>80</v>
      </c>
      <c r="E16" s="59" t="s">
        <v>128</v>
      </c>
      <c r="F16" s="6">
        <v>1.8528</v>
      </c>
      <c r="G16" s="68"/>
      <c r="H16" s="6">
        <f>F16*AE16</f>
        <v>0</v>
      </c>
      <c r="I16" s="6">
        <f>J16-H16</f>
        <v>0</v>
      </c>
      <c r="J16" s="6">
        <f>F16*G16</f>
        <v>0</v>
      </c>
      <c r="K16" s="6">
        <v>1.09663</v>
      </c>
      <c r="L16" s="60">
        <f>F16*K16</f>
        <v>2.0318360640000002</v>
      </c>
      <c r="P16" s="13">
        <f>IF(AG16="5",J16,0)</f>
        <v>0</v>
      </c>
      <c r="R16" s="13">
        <f>IF(AG16="1",H16,0)</f>
        <v>0</v>
      </c>
      <c r="S16" s="13">
        <f>IF(AG16="1",I16,0)</f>
        <v>0</v>
      </c>
      <c r="T16" s="13">
        <f>IF(AG16="7",H16,0)</f>
        <v>0</v>
      </c>
      <c r="U16" s="13">
        <f>IF(AG16="7",I16,0)</f>
        <v>0</v>
      </c>
      <c r="V16" s="13">
        <f>IF(AG16="2",H16,0)</f>
        <v>0</v>
      </c>
      <c r="W16" s="13">
        <f>IF(AG16="2",I16,0)</f>
        <v>0</v>
      </c>
      <c r="X16" s="13">
        <f>IF(AG16="0",J16,0)</f>
        <v>0</v>
      </c>
      <c r="Y16" s="8"/>
      <c r="Z16" s="6">
        <f>IF(AD16=0,J16,0)</f>
        <v>0</v>
      </c>
      <c r="AA16" s="6">
        <f>IF(AD16=15,J16,0)</f>
        <v>0</v>
      </c>
      <c r="AB16" s="6">
        <f>IF(AD16=21,J16,0)</f>
        <v>0</v>
      </c>
      <c r="AD16" s="13">
        <v>21</v>
      </c>
      <c r="AE16" s="13">
        <f>G16*0.682434259981705</f>
        <v>0</v>
      </c>
      <c r="AF16" s="13">
        <f>G16*(1-0.682434259981705)</f>
        <v>0</v>
      </c>
      <c r="AG16" s="11" t="s">
        <v>6</v>
      </c>
      <c r="AM16" s="13">
        <f>F16*AE16</f>
        <v>0</v>
      </c>
      <c r="AN16" s="13">
        <f>F16*AF16</f>
        <v>0</v>
      </c>
      <c r="AO16" s="14" t="s">
        <v>155</v>
      </c>
      <c r="AP16" s="14" t="s">
        <v>164</v>
      </c>
      <c r="AQ16" s="8" t="s">
        <v>168</v>
      </c>
      <c r="AS16" s="13">
        <f>AM16+AN16</f>
        <v>0</v>
      </c>
      <c r="AT16" s="13">
        <f>G16/(100-AU16)*100</f>
        <v>0</v>
      </c>
      <c r="AU16" s="13">
        <v>0</v>
      </c>
      <c r="AV16" s="13">
        <f>L16</f>
        <v>2.0318360640000002</v>
      </c>
    </row>
    <row r="17" spans="1:48" x14ac:dyDescent="0.2">
      <c r="A17" s="1"/>
      <c r="D17" s="61" t="s">
        <v>81</v>
      </c>
      <c r="L17" s="10"/>
    </row>
    <row r="18" spans="1:48" x14ac:dyDescent="0.2">
      <c r="A18" s="62"/>
      <c r="B18" s="42"/>
      <c r="C18" s="42" t="s">
        <v>35</v>
      </c>
      <c r="D18" s="42" t="s">
        <v>82</v>
      </c>
      <c r="E18" s="63" t="s">
        <v>5</v>
      </c>
      <c r="F18" s="63" t="s">
        <v>5</v>
      </c>
      <c r="G18" s="63" t="s">
        <v>5</v>
      </c>
      <c r="H18" s="15">
        <f>SUM(H19:H25)</f>
        <v>0</v>
      </c>
      <c r="I18" s="15">
        <f>SUM(I19:I25)</f>
        <v>0</v>
      </c>
      <c r="J18" s="15">
        <f>H18+I18</f>
        <v>0</v>
      </c>
      <c r="K18" s="8"/>
      <c r="L18" s="64">
        <f>SUM(L19:L25)</f>
        <v>78.787989499999995</v>
      </c>
      <c r="Y18" s="8"/>
      <c r="AI18" s="15">
        <f>SUM(Z19:Z25)</f>
        <v>0</v>
      </c>
      <c r="AJ18" s="15">
        <f>SUM(AA19:AA25)</f>
        <v>0</v>
      </c>
      <c r="AK18" s="15">
        <f>SUM(AB19:AB25)</f>
        <v>0</v>
      </c>
    </row>
    <row r="19" spans="1:48" x14ac:dyDescent="0.2">
      <c r="A19" s="58" t="s">
        <v>8</v>
      </c>
      <c r="B19" s="59"/>
      <c r="C19" s="59" t="s">
        <v>42</v>
      </c>
      <c r="D19" s="59" t="s">
        <v>83</v>
      </c>
      <c r="E19" s="59" t="s">
        <v>129</v>
      </c>
      <c r="F19" s="6">
        <v>28.4</v>
      </c>
      <c r="G19" s="68"/>
      <c r="H19" s="6">
        <f>F19*AE19</f>
        <v>0</v>
      </c>
      <c r="I19" s="6">
        <f>J19-H19</f>
        <v>0</v>
      </c>
      <c r="J19" s="6">
        <f>F19*G19</f>
        <v>0</v>
      </c>
      <c r="K19" s="6">
        <v>2.5249999999999999</v>
      </c>
      <c r="L19" s="60">
        <f>F19*K19</f>
        <v>71.709999999999994</v>
      </c>
      <c r="P19" s="13">
        <f>IF(AG19="5",J19,0)</f>
        <v>0</v>
      </c>
      <c r="R19" s="13">
        <f>IF(AG19="1",H19,0)</f>
        <v>0</v>
      </c>
      <c r="S19" s="13">
        <f>IF(AG19="1",I19,0)</f>
        <v>0</v>
      </c>
      <c r="T19" s="13">
        <f>IF(AG19="7",H19,0)</f>
        <v>0</v>
      </c>
      <c r="U19" s="13">
        <f>IF(AG19="7",I19,0)</f>
        <v>0</v>
      </c>
      <c r="V19" s="13">
        <f>IF(AG19="2",H19,0)</f>
        <v>0</v>
      </c>
      <c r="W19" s="13">
        <f>IF(AG19="2",I19,0)</f>
        <v>0</v>
      </c>
      <c r="X19" s="13">
        <f>IF(AG19="0",J19,0)</f>
        <v>0</v>
      </c>
      <c r="Y19" s="8"/>
      <c r="Z19" s="6">
        <f>IF(AD19=0,J19,0)</f>
        <v>0</v>
      </c>
      <c r="AA19" s="6">
        <f>IF(AD19=15,J19,0)</f>
        <v>0</v>
      </c>
      <c r="AB19" s="6">
        <f>IF(AD19=21,J19,0)</f>
        <v>0</v>
      </c>
      <c r="AD19" s="13">
        <v>21</v>
      </c>
      <c r="AE19" s="13">
        <f>G19*0.724541871921182</f>
        <v>0</v>
      </c>
      <c r="AF19" s="13">
        <f>G19*(1-0.724541871921182)</f>
        <v>0</v>
      </c>
      <c r="AG19" s="11" t="s">
        <v>6</v>
      </c>
      <c r="AM19" s="13">
        <f>F19*AE19</f>
        <v>0</v>
      </c>
      <c r="AN19" s="13">
        <f>F19*AF19</f>
        <v>0</v>
      </c>
      <c r="AO19" s="14" t="s">
        <v>156</v>
      </c>
      <c r="AP19" s="14" t="s">
        <v>165</v>
      </c>
      <c r="AQ19" s="8" t="s">
        <v>168</v>
      </c>
      <c r="AS19" s="13">
        <f>AM19+AN19</f>
        <v>0</v>
      </c>
      <c r="AT19" s="13">
        <f>G19/(100-AU19)*100</f>
        <v>0</v>
      </c>
      <c r="AU19" s="13">
        <v>0</v>
      </c>
      <c r="AV19" s="13">
        <f>L19</f>
        <v>71.709999999999994</v>
      </c>
    </row>
    <row r="20" spans="1:48" x14ac:dyDescent="0.2">
      <c r="A20" s="1"/>
      <c r="D20" s="61" t="s">
        <v>84</v>
      </c>
      <c r="L20" s="10"/>
    </row>
    <row r="21" spans="1:48" x14ac:dyDescent="0.2">
      <c r="A21" s="58" t="s">
        <v>9</v>
      </c>
      <c r="B21" s="59"/>
      <c r="C21" s="59" t="s">
        <v>43</v>
      </c>
      <c r="D21" s="59" t="s">
        <v>85</v>
      </c>
      <c r="E21" s="59" t="s">
        <v>129</v>
      </c>
      <c r="F21" s="6">
        <v>1.85</v>
      </c>
      <c r="G21" s="68"/>
      <c r="H21" s="6">
        <f>F21*AE21</f>
        <v>0</v>
      </c>
      <c r="I21" s="6">
        <f>J21-H21</f>
        <v>0</v>
      </c>
      <c r="J21" s="6">
        <f>F21*G21</f>
        <v>0</v>
      </c>
      <c r="K21" s="6">
        <v>2.5249999999999999</v>
      </c>
      <c r="L21" s="60">
        <f>F21*K21</f>
        <v>4.6712499999999997</v>
      </c>
      <c r="P21" s="13">
        <f>IF(AG21="5",J21,0)</f>
        <v>0</v>
      </c>
      <c r="R21" s="13">
        <f>IF(AG21="1",H21,0)</f>
        <v>0</v>
      </c>
      <c r="S21" s="13">
        <f>IF(AG21="1",I21,0)</f>
        <v>0</v>
      </c>
      <c r="T21" s="13">
        <f>IF(AG21="7",H21,0)</f>
        <v>0</v>
      </c>
      <c r="U21" s="13">
        <f>IF(AG21="7",I21,0)</f>
        <v>0</v>
      </c>
      <c r="V21" s="13">
        <f>IF(AG21="2",H21,0)</f>
        <v>0</v>
      </c>
      <c r="W21" s="13">
        <f>IF(AG21="2",I21,0)</f>
        <v>0</v>
      </c>
      <c r="X21" s="13">
        <f>IF(AG21="0",J21,0)</f>
        <v>0</v>
      </c>
      <c r="Y21" s="8"/>
      <c r="Z21" s="6">
        <f>IF(AD21=0,J21,0)</f>
        <v>0</v>
      </c>
      <c r="AA21" s="6">
        <f>IF(AD21=15,J21,0)</f>
        <v>0</v>
      </c>
      <c r="AB21" s="6">
        <f>IF(AD21=21,J21,0)</f>
        <v>0</v>
      </c>
      <c r="AD21" s="13">
        <v>21</v>
      </c>
      <c r="AE21" s="13">
        <f>G21*0.677815950920245</f>
        <v>0</v>
      </c>
      <c r="AF21" s="13">
        <f>G21*(1-0.677815950920245)</f>
        <v>0</v>
      </c>
      <c r="AG21" s="11" t="s">
        <v>6</v>
      </c>
      <c r="AM21" s="13">
        <f>F21*AE21</f>
        <v>0</v>
      </c>
      <c r="AN21" s="13">
        <f>F21*AF21</f>
        <v>0</v>
      </c>
      <c r="AO21" s="14" t="s">
        <v>156</v>
      </c>
      <c r="AP21" s="14" t="s">
        <v>165</v>
      </c>
      <c r="AQ21" s="8" t="s">
        <v>168</v>
      </c>
      <c r="AS21" s="13">
        <f>AM21+AN21</f>
        <v>0</v>
      </c>
      <c r="AT21" s="13">
        <f>G21/(100-AU21)*100</f>
        <v>0</v>
      </c>
      <c r="AU21" s="13">
        <v>0</v>
      </c>
      <c r="AV21" s="13">
        <f>L21</f>
        <v>4.6712499999999997</v>
      </c>
    </row>
    <row r="22" spans="1:48" x14ac:dyDescent="0.2">
      <c r="A22" s="58" t="s">
        <v>10</v>
      </c>
      <c r="B22" s="59"/>
      <c r="C22" s="59" t="s">
        <v>44</v>
      </c>
      <c r="D22" s="59" t="s">
        <v>86</v>
      </c>
      <c r="E22" s="59" t="s">
        <v>129</v>
      </c>
      <c r="F22" s="6">
        <v>28.4</v>
      </c>
      <c r="G22" s="68"/>
      <c r="H22" s="6">
        <f>F22*AE22</f>
        <v>0</v>
      </c>
      <c r="I22" s="6">
        <f>J22-H22</f>
        <v>0</v>
      </c>
      <c r="J22" s="6">
        <f>F22*G22</f>
        <v>0</v>
      </c>
      <c r="K22" s="6">
        <v>0</v>
      </c>
      <c r="L22" s="60">
        <f>F22*K22</f>
        <v>0</v>
      </c>
      <c r="P22" s="13">
        <f>IF(AG22="5",J22,0)</f>
        <v>0</v>
      </c>
      <c r="R22" s="13">
        <f>IF(AG22="1",H22,0)</f>
        <v>0</v>
      </c>
      <c r="S22" s="13">
        <f>IF(AG22="1",I22,0)</f>
        <v>0</v>
      </c>
      <c r="T22" s="13">
        <f>IF(AG22="7",H22,0)</f>
        <v>0</v>
      </c>
      <c r="U22" s="13">
        <f>IF(AG22="7",I22,0)</f>
        <v>0</v>
      </c>
      <c r="V22" s="13">
        <f>IF(AG22="2",H22,0)</f>
        <v>0</v>
      </c>
      <c r="W22" s="13">
        <f>IF(AG22="2",I22,0)</f>
        <v>0</v>
      </c>
      <c r="X22" s="13">
        <f>IF(AG22="0",J22,0)</f>
        <v>0</v>
      </c>
      <c r="Y22" s="8"/>
      <c r="Z22" s="6">
        <f>IF(AD22=0,J22,0)</f>
        <v>0</v>
      </c>
      <c r="AA22" s="6">
        <f>IF(AD22=15,J22,0)</f>
        <v>0</v>
      </c>
      <c r="AB22" s="6">
        <f>IF(AD22=21,J22,0)</f>
        <v>0</v>
      </c>
      <c r="AD22" s="13">
        <v>21</v>
      </c>
      <c r="AE22" s="13">
        <f>G22*0</f>
        <v>0</v>
      </c>
      <c r="AF22" s="13">
        <f>G22*(1-0)</f>
        <v>0</v>
      </c>
      <c r="AG22" s="11" t="s">
        <v>6</v>
      </c>
      <c r="AM22" s="13">
        <f>F22*AE22</f>
        <v>0</v>
      </c>
      <c r="AN22" s="13">
        <f>F22*AF22</f>
        <v>0</v>
      </c>
      <c r="AO22" s="14" t="s">
        <v>156</v>
      </c>
      <c r="AP22" s="14" t="s">
        <v>165</v>
      </c>
      <c r="AQ22" s="8" t="s">
        <v>168</v>
      </c>
      <c r="AS22" s="13">
        <f>AM22+AN22</f>
        <v>0</v>
      </c>
      <c r="AT22" s="13">
        <f>G22/(100-AU22)*100</f>
        <v>0</v>
      </c>
      <c r="AU22" s="13">
        <v>0</v>
      </c>
      <c r="AV22" s="13">
        <f>L22</f>
        <v>0</v>
      </c>
    </row>
    <row r="23" spans="1:48" x14ac:dyDescent="0.2">
      <c r="A23" s="58" t="s">
        <v>11</v>
      </c>
      <c r="B23" s="59"/>
      <c r="C23" s="59" t="s">
        <v>45</v>
      </c>
      <c r="D23" s="59" t="s">
        <v>87</v>
      </c>
      <c r="E23" s="59" t="s">
        <v>129</v>
      </c>
      <c r="F23" s="6">
        <v>1.85</v>
      </c>
      <c r="G23" s="68"/>
      <c r="H23" s="6">
        <f>F23*AE23</f>
        <v>0</v>
      </c>
      <c r="I23" s="6">
        <f>J23-H23</f>
        <v>0</v>
      </c>
      <c r="J23" s="6">
        <f>F23*G23</f>
        <v>0</v>
      </c>
      <c r="K23" s="6">
        <v>0</v>
      </c>
      <c r="L23" s="60">
        <f>F23*K23</f>
        <v>0</v>
      </c>
      <c r="P23" s="13">
        <f>IF(AG23="5",J23,0)</f>
        <v>0</v>
      </c>
      <c r="R23" s="13">
        <f>IF(AG23="1",H23,0)</f>
        <v>0</v>
      </c>
      <c r="S23" s="13">
        <f>IF(AG23="1",I23,0)</f>
        <v>0</v>
      </c>
      <c r="T23" s="13">
        <f>IF(AG23="7",H23,0)</f>
        <v>0</v>
      </c>
      <c r="U23" s="13">
        <f>IF(AG23="7",I23,0)</f>
        <v>0</v>
      </c>
      <c r="V23" s="13">
        <f>IF(AG23="2",H23,0)</f>
        <v>0</v>
      </c>
      <c r="W23" s="13">
        <f>IF(AG23="2",I23,0)</f>
        <v>0</v>
      </c>
      <c r="X23" s="13">
        <f>IF(AG23="0",J23,0)</f>
        <v>0</v>
      </c>
      <c r="Y23" s="8"/>
      <c r="Z23" s="6">
        <f>IF(AD23=0,J23,0)</f>
        <v>0</v>
      </c>
      <c r="AA23" s="6">
        <f>IF(AD23=15,J23,0)</f>
        <v>0</v>
      </c>
      <c r="AB23" s="6">
        <f>IF(AD23=21,J23,0)</f>
        <v>0</v>
      </c>
      <c r="AD23" s="13">
        <v>21</v>
      </c>
      <c r="AE23" s="13">
        <f>G23*0</f>
        <v>0</v>
      </c>
      <c r="AF23" s="13">
        <f>G23*(1-0)</f>
        <v>0</v>
      </c>
      <c r="AG23" s="11" t="s">
        <v>6</v>
      </c>
      <c r="AM23" s="13">
        <f>F23*AE23</f>
        <v>0</v>
      </c>
      <c r="AN23" s="13">
        <f>F23*AF23</f>
        <v>0</v>
      </c>
      <c r="AO23" s="14" t="s">
        <v>156</v>
      </c>
      <c r="AP23" s="14" t="s">
        <v>165</v>
      </c>
      <c r="AQ23" s="8" t="s">
        <v>168</v>
      </c>
      <c r="AS23" s="13">
        <f>AM23+AN23</f>
        <v>0</v>
      </c>
      <c r="AT23" s="13">
        <f>G23/(100-AU23)*100</f>
        <v>0</v>
      </c>
      <c r="AU23" s="13">
        <v>0</v>
      </c>
      <c r="AV23" s="13">
        <f>L23</f>
        <v>0</v>
      </c>
    </row>
    <row r="24" spans="1:48" x14ac:dyDescent="0.2">
      <c r="A24" s="58" t="s">
        <v>12</v>
      </c>
      <c r="B24" s="59"/>
      <c r="C24" s="59" t="s">
        <v>46</v>
      </c>
      <c r="D24" s="59" t="s">
        <v>88</v>
      </c>
      <c r="E24" s="59" t="s">
        <v>128</v>
      </c>
      <c r="F24" s="6">
        <v>2.2572000000000001</v>
      </c>
      <c r="G24" s="68"/>
      <c r="H24" s="6">
        <f>F24*AE24</f>
        <v>0</v>
      </c>
      <c r="I24" s="6">
        <f>J24-H24</f>
        <v>0</v>
      </c>
      <c r="J24" s="6">
        <f>F24*G24</f>
        <v>0</v>
      </c>
      <c r="K24" s="6">
        <v>1.0662499999999999</v>
      </c>
      <c r="L24" s="60">
        <f>F24*K24</f>
        <v>2.4067395</v>
      </c>
      <c r="P24" s="13">
        <f>IF(AG24="5",J24,0)</f>
        <v>0</v>
      </c>
      <c r="R24" s="13">
        <f>IF(AG24="1",H24,0)</f>
        <v>0</v>
      </c>
      <c r="S24" s="13">
        <f>IF(AG24="1",I24,0)</f>
        <v>0</v>
      </c>
      <c r="T24" s="13">
        <f>IF(AG24="7",H24,0)</f>
        <v>0</v>
      </c>
      <c r="U24" s="13">
        <f>IF(AG24="7",I24,0)</f>
        <v>0</v>
      </c>
      <c r="V24" s="13">
        <f>IF(AG24="2",H24,0)</f>
        <v>0</v>
      </c>
      <c r="W24" s="13">
        <f>IF(AG24="2",I24,0)</f>
        <v>0</v>
      </c>
      <c r="X24" s="13">
        <f>IF(AG24="0",J24,0)</f>
        <v>0</v>
      </c>
      <c r="Y24" s="8"/>
      <c r="Z24" s="6">
        <f>IF(AD24=0,J24,0)</f>
        <v>0</v>
      </c>
      <c r="AA24" s="6">
        <f>IF(AD24=15,J24,0)</f>
        <v>0</v>
      </c>
      <c r="AB24" s="6">
        <f>IF(AD24=21,J24,0)</f>
        <v>0</v>
      </c>
      <c r="AD24" s="13">
        <v>21</v>
      </c>
      <c r="AE24" s="13">
        <f>G24*0.801195627073575</f>
        <v>0</v>
      </c>
      <c r="AF24" s="13">
        <f>G24*(1-0.801195627073575)</f>
        <v>0</v>
      </c>
      <c r="AG24" s="11" t="s">
        <v>6</v>
      </c>
      <c r="AM24" s="13">
        <f>F24*AE24</f>
        <v>0</v>
      </c>
      <c r="AN24" s="13">
        <f>F24*AF24</f>
        <v>0</v>
      </c>
      <c r="AO24" s="14" t="s">
        <v>156</v>
      </c>
      <c r="AP24" s="14" t="s">
        <v>165</v>
      </c>
      <c r="AQ24" s="8" t="s">
        <v>168</v>
      </c>
      <c r="AS24" s="13">
        <f>AM24+AN24</f>
        <v>0</v>
      </c>
      <c r="AT24" s="13">
        <f>G24/(100-AU24)*100</f>
        <v>0</v>
      </c>
      <c r="AU24" s="13">
        <v>0</v>
      </c>
      <c r="AV24" s="13">
        <f>L24</f>
        <v>2.4067395</v>
      </c>
    </row>
    <row r="25" spans="1:48" x14ac:dyDescent="0.2">
      <c r="A25" s="1"/>
      <c r="D25" s="61" t="s">
        <v>89</v>
      </c>
      <c r="L25" s="10"/>
    </row>
    <row r="26" spans="1:48" x14ac:dyDescent="0.2">
      <c r="A26" s="62"/>
      <c r="B26" s="42"/>
      <c r="C26" s="42" t="s">
        <v>47</v>
      </c>
      <c r="D26" s="42" t="s">
        <v>90</v>
      </c>
      <c r="E26" s="63" t="s">
        <v>5</v>
      </c>
      <c r="F26" s="63" t="s">
        <v>5</v>
      </c>
      <c r="G26" s="63" t="s">
        <v>5</v>
      </c>
      <c r="H26" s="15">
        <f>SUM(H27:H30)</f>
        <v>0</v>
      </c>
      <c r="I26" s="15">
        <f>SUM(I27:I30)</f>
        <v>0</v>
      </c>
      <c r="J26" s="15">
        <f>H26+I26</f>
        <v>0</v>
      </c>
      <c r="K26" s="8"/>
      <c r="L26" s="64">
        <f>SUM(L27:L30)</f>
        <v>4.5840000000000005</v>
      </c>
      <c r="Y26" s="8"/>
      <c r="AI26" s="15">
        <f>SUM(Z27:Z30)</f>
        <v>0</v>
      </c>
      <c r="AJ26" s="15">
        <f>SUM(AA27:AA30)</f>
        <v>0</v>
      </c>
      <c r="AK26" s="15">
        <f>SUM(AB27:AB30)</f>
        <v>0</v>
      </c>
    </row>
    <row r="27" spans="1:48" x14ac:dyDescent="0.2">
      <c r="A27" s="58" t="s">
        <v>13</v>
      </c>
      <c r="B27" s="59"/>
      <c r="C27" s="59" t="s">
        <v>48</v>
      </c>
      <c r="D27" s="59" t="s">
        <v>91</v>
      </c>
      <c r="E27" s="59" t="s">
        <v>127</v>
      </c>
      <c r="F27" s="6">
        <v>275</v>
      </c>
      <c r="G27" s="68"/>
      <c r="H27" s="6">
        <f>F27*AE27</f>
        <v>0</v>
      </c>
      <c r="I27" s="6">
        <f>J27-H27</f>
        <v>0</v>
      </c>
      <c r="J27" s="6">
        <f>F27*G27</f>
        <v>0</v>
      </c>
      <c r="K27" s="6">
        <v>1.6E-2</v>
      </c>
      <c r="L27" s="60">
        <f>F27*K27</f>
        <v>4.4000000000000004</v>
      </c>
      <c r="P27" s="13">
        <f>IF(AG27="5",J27,0)</f>
        <v>0</v>
      </c>
      <c r="R27" s="13">
        <f>IF(AG27="1",H27,0)</f>
        <v>0</v>
      </c>
      <c r="S27" s="13">
        <f>IF(AG27="1",I27,0)</f>
        <v>0</v>
      </c>
      <c r="T27" s="13">
        <f>IF(AG27="7",H27,0)</f>
        <v>0</v>
      </c>
      <c r="U27" s="13">
        <f>IF(AG27="7",I27,0)</f>
        <v>0</v>
      </c>
      <c r="V27" s="13">
        <f>IF(AG27="2",H27,0)</f>
        <v>0</v>
      </c>
      <c r="W27" s="13">
        <f>IF(AG27="2",I27,0)</f>
        <v>0</v>
      </c>
      <c r="X27" s="13">
        <f>IF(AG27="0",J27,0)</f>
        <v>0</v>
      </c>
      <c r="Y27" s="8"/>
      <c r="Z27" s="6">
        <f>IF(AD27=0,J27,0)</f>
        <v>0</v>
      </c>
      <c r="AA27" s="6">
        <f>IF(AD27=15,J27,0)</f>
        <v>0</v>
      </c>
      <c r="AB27" s="6">
        <f>IF(AD27=21,J27,0)</f>
        <v>0</v>
      </c>
      <c r="AD27" s="13">
        <v>21</v>
      </c>
      <c r="AE27" s="13">
        <f>G27*0</f>
        <v>0</v>
      </c>
      <c r="AF27" s="13">
        <f>G27*(1-0)</f>
        <v>0</v>
      </c>
      <c r="AG27" s="11" t="s">
        <v>12</v>
      </c>
      <c r="AM27" s="13">
        <f>F27*AE27</f>
        <v>0</v>
      </c>
      <c r="AN27" s="13">
        <f>F27*AF27</f>
        <v>0</v>
      </c>
      <c r="AO27" s="14" t="s">
        <v>157</v>
      </c>
      <c r="AP27" s="14" t="s">
        <v>166</v>
      </c>
      <c r="AQ27" s="8" t="s">
        <v>168</v>
      </c>
      <c r="AS27" s="13">
        <f>AM27+AN27</f>
        <v>0</v>
      </c>
      <c r="AT27" s="13">
        <f>G27/(100-AU27)*100</f>
        <v>0</v>
      </c>
      <c r="AU27" s="13">
        <v>0</v>
      </c>
      <c r="AV27" s="13">
        <f>L27</f>
        <v>4.4000000000000004</v>
      </c>
    </row>
    <row r="28" spans="1:48" x14ac:dyDescent="0.2">
      <c r="A28" s="58" t="s">
        <v>14</v>
      </c>
      <c r="B28" s="59"/>
      <c r="C28" s="59" t="s">
        <v>49</v>
      </c>
      <c r="D28" s="59" t="s">
        <v>92</v>
      </c>
      <c r="E28" s="59" t="s">
        <v>131</v>
      </c>
      <c r="F28" s="6">
        <v>46</v>
      </c>
      <c r="G28" s="68"/>
      <c r="H28" s="6">
        <f>F28*AE28</f>
        <v>0</v>
      </c>
      <c r="I28" s="6">
        <f>J28-H28</f>
        <v>0</v>
      </c>
      <c r="J28" s="6">
        <f>F28*G28</f>
        <v>0</v>
      </c>
      <c r="K28" s="6">
        <v>4.0000000000000001E-3</v>
      </c>
      <c r="L28" s="60">
        <f>F28*K28</f>
        <v>0.184</v>
      </c>
      <c r="P28" s="13">
        <f>IF(AG28="5",J28,0)</f>
        <v>0</v>
      </c>
      <c r="R28" s="13">
        <f>IF(AG28="1",H28,0)</f>
        <v>0</v>
      </c>
      <c r="S28" s="13">
        <f>IF(AG28="1",I28,0)</f>
        <v>0</v>
      </c>
      <c r="T28" s="13">
        <f>IF(AG28="7",H28,0)</f>
        <v>0</v>
      </c>
      <c r="U28" s="13">
        <f>IF(AG28="7",I28,0)</f>
        <v>0</v>
      </c>
      <c r="V28" s="13">
        <f>IF(AG28="2",H28,0)</f>
        <v>0</v>
      </c>
      <c r="W28" s="13">
        <f>IF(AG28="2",I28,0)</f>
        <v>0</v>
      </c>
      <c r="X28" s="13">
        <f>IF(AG28="0",J28,0)</f>
        <v>0</v>
      </c>
      <c r="Y28" s="8"/>
      <c r="Z28" s="6">
        <f>IF(AD28=0,J28,0)</f>
        <v>0</v>
      </c>
      <c r="AA28" s="6">
        <f>IF(AD28=15,J28,0)</f>
        <v>0</v>
      </c>
      <c r="AB28" s="6">
        <f>IF(AD28=21,J28,0)</f>
        <v>0</v>
      </c>
      <c r="AD28" s="13">
        <v>21</v>
      </c>
      <c r="AE28" s="13">
        <f>G28*0</f>
        <v>0</v>
      </c>
      <c r="AF28" s="13">
        <f>G28*(1-0)</f>
        <v>0</v>
      </c>
      <c r="AG28" s="11" t="s">
        <v>12</v>
      </c>
      <c r="AM28" s="13">
        <f>F28*AE28</f>
        <v>0</v>
      </c>
      <c r="AN28" s="13">
        <f>F28*AF28</f>
        <v>0</v>
      </c>
      <c r="AO28" s="14" t="s">
        <v>157</v>
      </c>
      <c r="AP28" s="14" t="s">
        <v>166</v>
      </c>
      <c r="AQ28" s="8" t="s">
        <v>168</v>
      </c>
      <c r="AS28" s="13">
        <f>AM28+AN28</f>
        <v>0</v>
      </c>
      <c r="AT28" s="13">
        <f>G28/(100-AU28)*100</f>
        <v>0</v>
      </c>
      <c r="AU28" s="13">
        <v>0</v>
      </c>
      <c r="AV28" s="13">
        <f>L28</f>
        <v>0.184</v>
      </c>
    </row>
    <row r="29" spans="1:48" x14ac:dyDescent="0.2">
      <c r="A29" s="1"/>
      <c r="D29" s="61" t="s">
        <v>93</v>
      </c>
      <c r="L29" s="10"/>
    </row>
    <row r="30" spans="1:48" x14ac:dyDescent="0.2">
      <c r="A30" s="58" t="s">
        <v>15</v>
      </c>
      <c r="B30" s="59"/>
      <c r="C30" s="59" t="s">
        <v>50</v>
      </c>
      <c r="D30" s="59" t="s">
        <v>94</v>
      </c>
      <c r="E30" s="59" t="s">
        <v>128</v>
      </c>
      <c r="F30" s="6">
        <v>8.984</v>
      </c>
      <c r="G30" s="68"/>
      <c r="H30" s="6">
        <f>F30*AE30</f>
        <v>0</v>
      </c>
      <c r="I30" s="6">
        <f>J30-H30</f>
        <v>0</v>
      </c>
      <c r="J30" s="6">
        <f>F30*G30</f>
        <v>0</v>
      </c>
      <c r="K30" s="6">
        <v>0</v>
      </c>
      <c r="L30" s="60">
        <f>F30*K30</f>
        <v>0</v>
      </c>
      <c r="P30" s="13">
        <f>IF(AG30="5",J30,0)</f>
        <v>0</v>
      </c>
      <c r="R30" s="13">
        <f>IF(AG30="1",H30,0)</f>
        <v>0</v>
      </c>
      <c r="S30" s="13">
        <f>IF(AG30="1",I30,0)</f>
        <v>0</v>
      </c>
      <c r="T30" s="13">
        <f>IF(AG30="7",H30,0)</f>
        <v>0</v>
      </c>
      <c r="U30" s="13">
        <f>IF(AG30="7",I30,0)</f>
        <v>0</v>
      </c>
      <c r="V30" s="13">
        <f>IF(AG30="2",H30,0)</f>
        <v>0</v>
      </c>
      <c r="W30" s="13">
        <f>IF(AG30="2",I30,0)</f>
        <v>0</v>
      </c>
      <c r="X30" s="13">
        <f>IF(AG30="0",J30,0)</f>
        <v>0</v>
      </c>
      <c r="Y30" s="8"/>
      <c r="Z30" s="6">
        <f>IF(AD30=0,J30,0)</f>
        <v>0</v>
      </c>
      <c r="AA30" s="6">
        <f>IF(AD30=15,J30,0)</f>
        <v>0</v>
      </c>
      <c r="AB30" s="6">
        <f>IF(AD30=21,J30,0)</f>
        <v>0</v>
      </c>
      <c r="AD30" s="13">
        <v>21</v>
      </c>
      <c r="AE30" s="13">
        <f>G30*0</f>
        <v>0</v>
      </c>
      <c r="AF30" s="13">
        <f>G30*(1-0)</f>
        <v>0</v>
      </c>
      <c r="AG30" s="11" t="s">
        <v>10</v>
      </c>
      <c r="AM30" s="13">
        <f>F30*AE30</f>
        <v>0</v>
      </c>
      <c r="AN30" s="13">
        <f>F30*AF30</f>
        <v>0</v>
      </c>
      <c r="AO30" s="14" t="s">
        <v>157</v>
      </c>
      <c r="AP30" s="14" t="s">
        <v>166</v>
      </c>
      <c r="AQ30" s="8" t="s">
        <v>168</v>
      </c>
      <c r="AS30" s="13">
        <f>AM30+AN30</f>
        <v>0</v>
      </c>
      <c r="AT30" s="13">
        <f>G30/(100-AU30)*100</f>
        <v>0</v>
      </c>
      <c r="AU30" s="13">
        <v>0</v>
      </c>
      <c r="AV30" s="13">
        <f>L30</f>
        <v>0</v>
      </c>
    </row>
    <row r="31" spans="1:48" x14ac:dyDescent="0.2">
      <c r="A31" s="62"/>
      <c r="B31" s="42"/>
      <c r="C31" s="42" t="s">
        <v>51</v>
      </c>
      <c r="D31" s="42" t="s">
        <v>95</v>
      </c>
      <c r="E31" s="63" t="s">
        <v>5</v>
      </c>
      <c r="F31" s="63" t="s">
        <v>5</v>
      </c>
      <c r="G31" s="63" t="s">
        <v>5</v>
      </c>
      <c r="H31" s="15">
        <f>SUM(H32:H34)</f>
        <v>0</v>
      </c>
      <c r="I31" s="15">
        <f>SUM(I32:I34)</f>
        <v>0</v>
      </c>
      <c r="J31" s="15">
        <f>H31+I31</f>
        <v>0</v>
      </c>
      <c r="K31" s="8"/>
      <c r="L31" s="64">
        <f>SUM(L32:L34)</f>
        <v>2.4894799999999999</v>
      </c>
      <c r="Y31" s="8"/>
      <c r="AI31" s="15">
        <f>SUM(Z32:Z34)</f>
        <v>0</v>
      </c>
      <c r="AJ31" s="15">
        <f>SUM(AA32:AA34)</f>
        <v>0</v>
      </c>
      <c r="AK31" s="15">
        <f>SUM(AB32:AB34)</f>
        <v>0</v>
      </c>
    </row>
    <row r="32" spans="1:48" x14ac:dyDescent="0.2">
      <c r="A32" s="58" t="s">
        <v>16</v>
      </c>
      <c r="B32" s="59"/>
      <c r="C32" s="59" t="s">
        <v>52</v>
      </c>
      <c r="D32" s="59" t="s">
        <v>96</v>
      </c>
      <c r="E32" s="59" t="s">
        <v>127</v>
      </c>
      <c r="F32" s="6">
        <v>238</v>
      </c>
      <c r="G32" s="68"/>
      <c r="H32" s="6">
        <f>F32*AE32</f>
        <v>0</v>
      </c>
      <c r="I32" s="6">
        <f>J32-H32</f>
        <v>0</v>
      </c>
      <c r="J32" s="6">
        <f>F32*G32</f>
        <v>0</v>
      </c>
      <c r="K32" s="6">
        <v>1.0460000000000001E-2</v>
      </c>
      <c r="L32" s="60">
        <f>F32*K32</f>
        <v>2.4894799999999999</v>
      </c>
      <c r="P32" s="13">
        <f>IF(AG32="5",J32,0)</f>
        <v>0</v>
      </c>
      <c r="R32" s="13">
        <f>IF(AG32="1",H32,0)</f>
        <v>0</v>
      </c>
      <c r="S32" s="13">
        <f>IF(AG32="1",I32,0)</f>
        <v>0</v>
      </c>
      <c r="T32" s="13">
        <f>IF(AG32="7",H32,0)</f>
        <v>0</v>
      </c>
      <c r="U32" s="13">
        <f>IF(AG32="7",I32,0)</f>
        <v>0</v>
      </c>
      <c r="V32" s="13">
        <f>IF(AG32="2",H32,0)</f>
        <v>0</v>
      </c>
      <c r="W32" s="13">
        <f>IF(AG32="2",I32,0)</f>
        <v>0</v>
      </c>
      <c r="X32" s="13">
        <f>IF(AG32="0",J32,0)</f>
        <v>0</v>
      </c>
      <c r="Y32" s="8"/>
      <c r="Z32" s="6">
        <f>IF(AD32=0,J32,0)</f>
        <v>0</v>
      </c>
      <c r="AA32" s="6">
        <f>IF(AD32=15,J32,0)</f>
        <v>0</v>
      </c>
      <c r="AB32" s="6">
        <f>IF(AD32=21,J32,0)</f>
        <v>0</v>
      </c>
      <c r="AD32" s="13">
        <v>21</v>
      </c>
      <c r="AE32" s="13">
        <f>G32*0.695704918032787</f>
        <v>0</v>
      </c>
      <c r="AF32" s="13">
        <f>G32*(1-0.695704918032787)</f>
        <v>0</v>
      </c>
      <c r="AG32" s="11" t="s">
        <v>12</v>
      </c>
      <c r="AM32" s="13">
        <f>F32*AE32</f>
        <v>0</v>
      </c>
      <c r="AN32" s="13">
        <f>F32*AF32</f>
        <v>0</v>
      </c>
      <c r="AO32" s="14" t="s">
        <v>158</v>
      </c>
      <c r="AP32" s="14" t="s">
        <v>166</v>
      </c>
      <c r="AQ32" s="8" t="s">
        <v>168</v>
      </c>
      <c r="AS32" s="13">
        <f>AM32+AN32</f>
        <v>0</v>
      </c>
      <c r="AT32" s="13">
        <f>G32/(100-AU32)*100</f>
        <v>0</v>
      </c>
      <c r="AU32" s="13">
        <v>0</v>
      </c>
      <c r="AV32" s="13">
        <f>L32</f>
        <v>2.4894799999999999</v>
      </c>
    </row>
    <row r="33" spans="1:48" x14ac:dyDescent="0.2">
      <c r="A33" s="1"/>
      <c r="D33" s="61" t="s">
        <v>97</v>
      </c>
      <c r="L33" s="10"/>
    </row>
    <row r="34" spans="1:48" x14ac:dyDescent="0.2">
      <c r="A34" s="58" t="s">
        <v>17</v>
      </c>
      <c r="B34" s="59"/>
      <c r="C34" s="59" t="s">
        <v>53</v>
      </c>
      <c r="D34" s="59" t="s">
        <v>98</v>
      </c>
      <c r="E34" s="59" t="s">
        <v>128</v>
      </c>
      <c r="F34" s="6">
        <v>2.4894799999999999</v>
      </c>
      <c r="G34" s="68"/>
      <c r="H34" s="6">
        <f>F34*AE34</f>
        <v>0</v>
      </c>
      <c r="I34" s="6">
        <f>J34-H34</f>
        <v>0</v>
      </c>
      <c r="J34" s="6">
        <f>F34*G34</f>
        <v>0</v>
      </c>
      <c r="K34" s="6">
        <v>0</v>
      </c>
      <c r="L34" s="60">
        <f>F34*K34</f>
        <v>0</v>
      </c>
      <c r="P34" s="13">
        <f>IF(AG34="5",J34,0)</f>
        <v>0</v>
      </c>
      <c r="R34" s="13">
        <f>IF(AG34="1",H34,0)</f>
        <v>0</v>
      </c>
      <c r="S34" s="13">
        <f>IF(AG34="1",I34,0)</f>
        <v>0</v>
      </c>
      <c r="T34" s="13">
        <f>IF(AG34="7",H34,0)</f>
        <v>0</v>
      </c>
      <c r="U34" s="13">
        <f>IF(AG34="7",I34,0)</f>
        <v>0</v>
      </c>
      <c r="V34" s="13">
        <f>IF(AG34="2",H34,0)</f>
        <v>0</v>
      </c>
      <c r="W34" s="13">
        <f>IF(AG34="2",I34,0)</f>
        <v>0</v>
      </c>
      <c r="X34" s="13">
        <f>IF(AG34="0",J34,0)</f>
        <v>0</v>
      </c>
      <c r="Y34" s="8"/>
      <c r="Z34" s="6">
        <f>IF(AD34=0,J34,0)</f>
        <v>0</v>
      </c>
      <c r="AA34" s="6">
        <f>IF(AD34=15,J34,0)</f>
        <v>0</v>
      </c>
      <c r="AB34" s="6">
        <f>IF(AD34=21,J34,0)</f>
        <v>0</v>
      </c>
      <c r="AD34" s="13">
        <v>21</v>
      </c>
      <c r="AE34" s="13">
        <f>G34*0</f>
        <v>0</v>
      </c>
      <c r="AF34" s="13">
        <f>G34*(1-0)</f>
        <v>0</v>
      </c>
      <c r="AG34" s="11" t="s">
        <v>10</v>
      </c>
      <c r="AM34" s="13">
        <f>F34*AE34</f>
        <v>0</v>
      </c>
      <c r="AN34" s="13">
        <f>F34*AF34</f>
        <v>0</v>
      </c>
      <c r="AO34" s="14" t="s">
        <v>158</v>
      </c>
      <c r="AP34" s="14" t="s">
        <v>166</v>
      </c>
      <c r="AQ34" s="8" t="s">
        <v>168</v>
      </c>
      <c r="AS34" s="13">
        <f>AM34+AN34</f>
        <v>0</v>
      </c>
      <c r="AT34" s="13">
        <f>G34/(100-AU34)*100</f>
        <v>0</v>
      </c>
      <c r="AU34" s="13">
        <v>0</v>
      </c>
      <c r="AV34" s="13">
        <f>L34</f>
        <v>0</v>
      </c>
    </row>
    <row r="35" spans="1:48" x14ac:dyDescent="0.2">
      <c r="A35" s="62"/>
      <c r="B35" s="42"/>
      <c r="C35" s="42" t="s">
        <v>54</v>
      </c>
      <c r="D35" s="42" t="s">
        <v>99</v>
      </c>
      <c r="E35" s="63" t="s">
        <v>5</v>
      </c>
      <c r="F35" s="63" t="s">
        <v>5</v>
      </c>
      <c r="G35" s="63" t="s">
        <v>5</v>
      </c>
      <c r="H35" s="15">
        <f>SUM(H36:H46)</f>
        <v>0</v>
      </c>
      <c r="I35" s="15">
        <f>SUM(I36:I46)</f>
        <v>0</v>
      </c>
      <c r="J35" s="15">
        <f>H35+I35</f>
        <v>0</v>
      </c>
      <c r="K35" s="8"/>
      <c r="L35" s="64">
        <f>SUM(L36:L46)</f>
        <v>171.01385110250004</v>
      </c>
      <c r="Y35" s="8"/>
      <c r="AI35" s="15">
        <f>SUM(Z36:Z46)</f>
        <v>0</v>
      </c>
      <c r="AJ35" s="15">
        <f>SUM(AA36:AA46)</f>
        <v>0</v>
      </c>
      <c r="AK35" s="15">
        <f>SUM(AB36:AB46)</f>
        <v>0</v>
      </c>
    </row>
    <row r="36" spans="1:48" x14ac:dyDescent="0.2">
      <c r="A36" s="58" t="s">
        <v>18</v>
      </c>
      <c r="B36" s="59"/>
      <c r="C36" s="59" t="s">
        <v>55</v>
      </c>
      <c r="D36" s="59" t="s">
        <v>100</v>
      </c>
      <c r="E36" s="59" t="s">
        <v>127</v>
      </c>
      <c r="F36" s="6">
        <v>275</v>
      </c>
      <c r="G36" s="68"/>
      <c r="H36" s="6">
        <f>F36*AE36</f>
        <v>0</v>
      </c>
      <c r="I36" s="6">
        <f>J36-H36</f>
        <v>0</v>
      </c>
      <c r="J36" s="6">
        <f>F36*G36</f>
        <v>0</v>
      </c>
      <c r="K36" s="6">
        <v>0.27200000000000002</v>
      </c>
      <c r="L36" s="60">
        <f>F36*K36</f>
        <v>74.800000000000011</v>
      </c>
      <c r="P36" s="13">
        <f>IF(AG36="5",J36,0)</f>
        <v>0</v>
      </c>
      <c r="R36" s="13">
        <f>IF(AG36="1",H36,0)</f>
        <v>0</v>
      </c>
      <c r="S36" s="13">
        <f>IF(AG36="1",I36,0)</f>
        <v>0</v>
      </c>
      <c r="T36" s="13">
        <f>IF(AG36="7",H36,0)</f>
        <v>0</v>
      </c>
      <c r="U36" s="13">
        <f>IF(AG36="7",I36,0)</f>
        <v>0</v>
      </c>
      <c r="V36" s="13">
        <f>IF(AG36="2",H36,0)</f>
        <v>0</v>
      </c>
      <c r="W36" s="13">
        <f>IF(AG36="2",I36,0)</f>
        <v>0</v>
      </c>
      <c r="X36" s="13">
        <f>IF(AG36="0",J36,0)</f>
        <v>0</v>
      </c>
      <c r="Y36" s="8"/>
      <c r="Z36" s="6">
        <f>IF(AD36=0,J36,0)</f>
        <v>0</v>
      </c>
      <c r="AA36" s="6">
        <f>IF(AD36=15,J36,0)</f>
        <v>0</v>
      </c>
      <c r="AB36" s="6">
        <f>IF(AD36=21,J36,0)</f>
        <v>0</v>
      </c>
      <c r="AD36" s="13">
        <v>21</v>
      </c>
      <c r="AE36" s="13">
        <f>G36*0</f>
        <v>0</v>
      </c>
      <c r="AF36" s="13">
        <f>G36*(1-0)</f>
        <v>0</v>
      </c>
      <c r="AG36" s="11" t="s">
        <v>6</v>
      </c>
      <c r="AM36" s="13">
        <f>F36*AE36</f>
        <v>0</v>
      </c>
      <c r="AN36" s="13">
        <f>F36*AF36</f>
        <v>0</v>
      </c>
      <c r="AO36" s="14" t="s">
        <v>159</v>
      </c>
      <c r="AP36" s="14" t="s">
        <v>167</v>
      </c>
      <c r="AQ36" s="8" t="s">
        <v>168</v>
      </c>
      <c r="AS36" s="13">
        <f>AM36+AN36</f>
        <v>0</v>
      </c>
      <c r="AT36" s="13">
        <f>G36/(100-AU36)*100</f>
        <v>0</v>
      </c>
      <c r="AU36" s="13">
        <v>0</v>
      </c>
      <c r="AV36" s="13">
        <f>L36</f>
        <v>74.800000000000011</v>
      </c>
    </row>
    <row r="37" spans="1:48" x14ac:dyDescent="0.2">
      <c r="A37" s="58" t="s">
        <v>19</v>
      </c>
      <c r="B37" s="59"/>
      <c r="C37" s="59" t="s">
        <v>56</v>
      </c>
      <c r="D37" s="59" t="s">
        <v>101</v>
      </c>
      <c r="E37" s="59" t="s">
        <v>129</v>
      </c>
      <c r="F37" s="6">
        <v>13.75</v>
      </c>
      <c r="G37" s="68"/>
      <c r="H37" s="6">
        <f>F37*AE37</f>
        <v>0</v>
      </c>
      <c r="I37" s="6">
        <f>J37-H37</f>
        <v>0</v>
      </c>
      <c r="J37" s="6">
        <f>F37*G37</f>
        <v>0</v>
      </c>
      <c r="K37" s="6">
        <v>2.2000000000000002</v>
      </c>
      <c r="L37" s="60">
        <f>F37*K37</f>
        <v>30.250000000000004</v>
      </c>
      <c r="P37" s="13">
        <f>IF(AG37="5",J37,0)</f>
        <v>0</v>
      </c>
      <c r="R37" s="13">
        <f>IF(AG37="1",H37,0)</f>
        <v>0</v>
      </c>
      <c r="S37" s="13">
        <f>IF(AG37="1",I37,0)</f>
        <v>0</v>
      </c>
      <c r="T37" s="13">
        <f>IF(AG37="7",H37,0)</f>
        <v>0</v>
      </c>
      <c r="U37" s="13">
        <f>IF(AG37="7",I37,0)</f>
        <v>0</v>
      </c>
      <c r="V37" s="13">
        <f>IF(AG37="2",H37,0)</f>
        <v>0</v>
      </c>
      <c r="W37" s="13">
        <f>IF(AG37="2",I37,0)</f>
        <v>0</v>
      </c>
      <c r="X37" s="13">
        <f>IF(AG37="0",J37,0)</f>
        <v>0</v>
      </c>
      <c r="Y37" s="8"/>
      <c r="Z37" s="6">
        <f>IF(AD37=0,J37,0)</f>
        <v>0</v>
      </c>
      <c r="AA37" s="6">
        <f>IF(AD37=15,J37,0)</f>
        <v>0</v>
      </c>
      <c r="AB37" s="6">
        <f>IF(AD37=21,J37,0)</f>
        <v>0</v>
      </c>
      <c r="AD37" s="13">
        <v>21</v>
      </c>
      <c r="AE37" s="13">
        <f>G37*0</f>
        <v>0</v>
      </c>
      <c r="AF37" s="13">
        <f>G37*(1-0)</f>
        <v>0</v>
      </c>
      <c r="AG37" s="11" t="s">
        <v>6</v>
      </c>
      <c r="AM37" s="13">
        <f>F37*AE37</f>
        <v>0</v>
      </c>
      <c r="AN37" s="13">
        <f>F37*AF37</f>
        <v>0</v>
      </c>
      <c r="AO37" s="14" t="s">
        <v>159</v>
      </c>
      <c r="AP37" s="14" t="s">
        <v>167</v>
      </c>
      <c r="AQ37" s="8" t="s">
        <v>168</v>
      </c>
      <c r="AS37" s="13">
        <f>AM37+AN37</f>
        <v>0</v>
      </c>
      <c r="AT37" s="13">
        <f>G37/(100-AU37)*100</f>
        <v>0</v>
      </c>
      <c r="AU37" s="13">
        <v>0</v>
      </c>
      <c r="AV37" s="13">
        <f>L37</f>
        <v>30.250000000000004</v>
      </c>
    </row>
    <row r="38" spans="1:48" x14ac:dyDescent="0.2">
      <c r="A38" s="1"/>
      <c r="D38" s="61" t="s">
        <v>102</v>
      </c>
      <c r="L38" s="10"/>
    </row>
    <row r="39" spans="1:48" x14ac:dyDescent="0.2">
      <c r="A39" s="58" t="s">
        <v>20</v>
      </c>
      <c r="B39" s="59"/>
      <c r="C39" s="59" t="s">
        <v>57</v>
      </c>
      <c r="D39" s="59" t="s">
        <v>103</v>
      </c>
      <c r="E39" s="59" t="s">
        <v>129</v>
      </c>
      <c r="F39" s="6">
        <v>27.5</v>
      </c>
      <c r="G39" s="68"/>
      <c r="H39" s="6">
        <f>F39*AE39</f>
        <v>0</v>
      </c>
      <c r="I39" s="6">
        <f>J39-H39</f>
        <v>0</v>
      </c>
      <c r="J39" s="6">
        <f>F39*G39</f>
        <v>0</v>
      </c>
      <c r="K39" s="6">
        <v>1.4</v>
      </c>
      <c r="L39" s="60">
        <f>F39*K39</f>
        <v>38.5</v>
      </c>
      <c r="P39" s="13">
        <f>IF(AG39="5",J39,0)</f>
        <v>0</v>
      </c>
      <c r="R39" s="13">
        <f>IF(AG39="1",H39,0)</f>
        <v>0</v>
      </c>
      <c r="S39" s="13">
        <f>IF(AG39="1",I39,0)</f>
        <v>0</v>
      </c>
      <c r="T39" s="13">
        <f>IF(AG39="7",H39,0)</f>
        <v>0</v>
      </c>
      <c r="U39" s="13">
        <f>IF(AG39="7",I39,0)</f>
        <v>0</v>
      </c>
      <c r="V39" s="13">
        <f>IF(AG39="2",H39,0)</f>
        <v>0</v>
      </c>
      <c r="W39" s="13">
        <f>IF(AG39="2",I39,0)</f>
        <v>0</v>
      </c>
      <c r="X39" s="13">
        <f>IF(AG39="0",J39,0)</f>
        <v>0</v>
      </c>
      <c r="Y39" s="8"/>
      <c r="Z39" s="6">
        <f>IF(AD39=0,J39,0)</f>
        <v>0</v>
      </c>
      <c r="AA39" s="6">
        <f>IF(AD39=15,J39,0)</f>
        <v>0</v>
      </c>
      <c r="AB39" s="6">
        <f>IF(AD39=21,J39,0)</f>
        <v>0</v>
      </c>
      <c r="AD39" s="13">
        <v>21</v>
      </c>
      <c r="AE39" s="13">
        <f>G39*0</f>
        <v>0</v>
      </c>
      <c r="AF39" s="13">
        <f>G39*(1-0)</f>
        <v>0</v>
      </c>
      <c r="AG39" s="11" t="s">
        <v>6</v>
      </c>
      <c r="AM39" s="13">
        <f>F39*AE39</f>
        <v>0</v>
      </c>
      <c r="AN39" s="13">
        <f>F39*AF39</f>
        <v>0</v>
      </c>
      <c r="AO39" s="14" t="s">
        <v>159</v>
      </c>
      <c r="AP39" s="14" t="s">
        <v>167</v>
      </c>
      <c r="AQ39" s="8" t="s">
        <v>168</v>
      </c>
      <c r="AS39" s="13">
        <f>AM39+AN39</f>
        <v>0</v>
      </c>
      <c r="AT39" s="13">
        <f>G39/(100-AU39)*100</f>
        <v>0</v>
      </c>
      <c r="AU39" s="13">
        <v>0</v>
      </c>
      <c r="AV39" s="13">
        <f>L39</f>
        <v>38.5</v>
      </c>
    </row>
    <row r="40" spans="1:48" x14ac:dyDescent="0.2">
      <c r="A40" s="1"/>
      <c r="D40" s="61" t="s">
        <v>104</v>
      </c>
      <c r="L40" s="10"/>
    </row>
    <row r="41" spans="1:48" x14ac:dyDescent="0.2">
      <c r="A41" s="58" t="s">
        <v>21</v>
      </c>
      <c r="B41" s="59"/>
      <c r="C41" s="59" t="s">
        <v>58</v>
      </c>
      <c r="D41" s="59" t="s">
        <v>105</v>
      </c>
      <c r="E41" s="59" t="s">
        <v>127</v>
      </c>
      <c r="F41" s="6">
        <v>60.25</v>
      </c>
      <c r="G41" s="68"/>
      <c r="H41" s="6">
        <f t="shared" ref="H41:H46" si="0">F41*AE41</f>
        <v>0</v>
      </c>
      <c r="I41" s="6">
        <f t="shared" ref="I41:I46" si="1">J41-H41</f>
        <v>0</v>
      </c>
      <c r="J41" s="6">
        <f t="shared" ref="J41:J46" si="2">F41*G41</f>
        <v>0</v>
      </c>
      <c r="K41" s="6">
        <v>0.10067</v>
      </c>
      <c r="L41" s="60">
        <f t="shared" ref="L41:L46" si="3">F41*K41</f>
        <v>6.0653674999999998</v>
      </c>
      <c r="P41" s="13">
        <f t="shared" ref="P41:P46" si="4">IF(AG41="5",J41,0)</f>
        <v>0</v>
      </c>
      <c r="R41" s="13">
        <f t="shared" ref="R41:R46" si="5">IF(AG41="1",H41,0)</f>
        <v>0</v>
      </c>
      <c r="S41" s="13">
        <f t="shared" ref="S41:S46" si="6">IF(AG41="1",I41,0)</f>
        <v>0</v>
      </c>
      <c r="T41" s="13">
        <f t="shared" ref="T41:T46" si="7">IF(AG41="7",H41,0)</f>
        <v>0</v>
      </c>
      <c r="U41" s="13">
        <f t="shared" ref="U41:U46" si="8">IF(AG41="7",I41,0)</f>
        <v>0</v>
      </c>
      <c r="V41" s="13">
        <f t="shared" ref="V41:V46" si="9">IF(AG41="2",H41,0)</f>
        <v>0</v>
      </c>
      <c r="W41" s="13">
        <f t="shared" ref="W41:W46" si="10">IF(AG41="2",I41,0)</f>
        <v>0</v>
      </c>
      <c r="X41" s="13">
        <f t="shared" ref="X41:X46" si="11">IF(AG41="0",J41,0)</f>
        <v>0</v>
      </c>
      <c r="Y41" s="8"/>
      <c r="Z41" s="6">
        <f t="shared" ref="Z41:Z46" si="12">IF(AD41=0,J41,0)</f>
        <v>0</v>
      </c>
      <c r="AA41" s="6">
        <f t="shared" ref="AA41:AA46" si="13">IF(AD41=15,J41,0)</f>
        <v>0</v>
      </c>
      <c r="AB41" s="6">
        <f t="shared" ref="AB41:AB46" si="14">IF(AD41=21,J41,0)</f>
        <v>0</v>
      </c>
      <c r="AD41" s="13">
        <v>21</v>
      </c>
      <c r="AE41" s="13">
        <f>G41*0.129295523916746</f>
        <v>0</v>
      </c>
      <c r="AF41" s="13">
        <f>G41*(1-0.129295523916746)</f>
        <v>0</v>
      </c>
      <c r="AG41" s="11" t="s">
        <v>6</v>
      </c>
      <c r="AM41" s="13">
        <f t="shared" ref="AM41:AM46" si="15">F41*AE41</f>
        <v>0</v>
      </c>
      <c r="AN41" s="13">
        <f t="shared" ref="AN41:AN46" si="16">F41*AF41</f>
        <v>0</v>
      </c>
      <c r="AO41" s="14" t="s">
        <v>159</v>
      </c>
      <c r="AP41" s="14" t="s">
        <v>167</v>
      </c>
      <c r="AQ41" s="8" t="s">
        <v>168</v>
      </c>
      <c r="AS41" s="13">
        <f t="shared" ref="AS41:AS46" si="17">AM41+AN41</f>
        <v>0</v>
      </c>
      <c r="AT41" s="13">
        <f t="shared" ref="AT41:AT46" si="18">G41/(100-AU41)*100</f>
        <v>0</v>
      </c>
      <c r="AU41" s="13">
        <v>0</v>
      </c>
      <c r="AV41" s="13">
        <f t="shared" ref="AV41:AV46" si="19">L41</f>
        <v>6.0653674999999998</v>
      </c>
    </row>
    <row r="42" spans="1:48" x14ac:dyDescent="0.2">
      <c r="A42" s="58" t="s">
        <v>22</v>
      </c>
      <c r="B42" s="59"/>
      <c r="C42" s="59" t="s">
        <v>58</v>
      </c>
      <c r="D42" s="59" t="s">
        <v>106</v>
      </c>
      <c r="E42" s="59" t="s">
        <v>127</v>
      </c>
      <c r="F42" s="6">
        <v>80.875</v>
      </c>
      <c r="G42" s="68"/>
      <c r="H42" s="6">
        <f t="shared" si="0"/>
        <v>0</v>
      </c>
      <c r="I42" s="6">
        <f t="shared" si="1"/>
        <v>0</v>
      </c>
      <c r="J42" s="6">
        <f t="shared" si="2"/>
        <v>0</v>
      </c>
      <c r="K42" s="6">
        <v>0.10067</v>
      </c>
      <c r="L42" s="60">
        <f t="shared" si="3"/>
        <v>8.1416862499999993</v>
      </c>
      <c r="P42" s="13">
        <f t="shared" si="4"/>
        <v>0</v>
      </c>
      <c r="R42" s="13">
        <f t="shared" si="5"/>
        <v>0</v>
      </c>
      <c r="S42" s="13">
        <f t="shared" si="6"/>
        <v>0</v>
      </c>
      <c r="T42" s="13">
        <f t="shared" si="7"/>
        <v>0</v>
      </c>
      <c r="U42" s="13">
        <f t="shared" si="8"/>
        <v>0</v>
      </c>
      <c r="V42" s="13">
        <f t="shared" si="9"/>
        <v>0</v>
      </c>
      <c r="W42" s="13">
        <f t="shared" si="10"/>
        <v>0</v>
      </c>
      <c r="X42" s="13">
        <f t="shared" si="11"/>
        <v>0</v>
      </c>
      <c r="Y42" s="8"/>
      <c r="Z42" s="6">
        <f t="shared" si="12"/>
        <v>0</v>
      </c>
      <c r="AA42" s="6">
        <f t="shared" si="13"/>
        <v>0</v>
      </c>
      <c r="AB42" s="6">
        <f t="shared" si="14"/>
        <v>0</v>
      </c>
      <c r="AD42" s="13">
        <v>21</v>
      </c>
      <c r="AE42" s="13">
        <f>G42*0.129295584020783</f>
        <v>0</v>
      </c>
      <c r="AF42" s="13">
        <f>G42*(1-0.129295584020783)</f>
        <v>0</v>
      </c>
      <c r="AG42" s="11" t="s">
        <v>6</v>
      </c>
      <c r="AM42" s="13">
        <f t="shared" si="15"/>
        <v>0</v>
      </c>
      <c r="AN42" s="13">
        <f t="shared" si="16"/>
        <v>0</v>
      </c>
      <c r="AO42" s="14" t="s">
        <v>159</v>
      </c>
      <c r="AP42" s="14" t="s">
        <v>167</v>
      </c>
      <c r="AQ42" s="8" t="s">
        <v>168</v>
      </c>
      <c r="AS42" s="13">
        <f t="shared" si="17"/>
        <v>0</v>
      </c>
      <c r="AT42" s="13">
        <f t="shared" si="18"/>
        <v>0</v>
      </c>
      <c r="AU42" s="13">
        <v>0</v>
      </c>
      <c r="AV42" s="13">
        <f t="shared" si="19"/>
        <v>8.1416862499999993</v>
      </c>
    </row>
    <row r="43" spans="1:48" x14ac:dyDescent="0.2">
      <c r="A43" s="58" t="s">
        <v>23</v>
      </c>
      <c r="B43" s="59"/>
      <c r="C43" s="59" t="s">
        <v>59</v>
      </c>
      <c r="D43" s="59" t="s">
        <v>107</v>
      </c>
      <c r="E43" s="59" t="s">
        <v>129</v>
      </c>
      <c r="F43" s="6">
        <v>6.3078000000000003</v>
      </c>
      <c r="G43" s="68"/>
      <c r="H43" s="6">
        <f t="shared" si="0"/>
        <v>0</v>
      </c>
      <c r="I43" s="6">
        <f t="shared" si="1"/>
        <v>0</v>
      </c>
      <c r="J43" s="6">
        <f t="shared" si="2"/>
        <v>0</v>
      </c>
      <c r="K43" s="6">
        <v>1.5940000000000001</v>
      </c>
      <c r="L43" s="60">
        <f t="shared" si="3"/>
        <v>10.054633200000001</v>
      </c>
      <c r="P43" s="13">
        <f t="shared" si="4"/>
        <v>0</v>
      </c>
      <c r="R43" s="13">
        <f t="shared" si="5"/>
        <v>0</v>
      </c>
      <c r="S43" s="13">
        <f t="shared" si="6"/>
        <v>0</v>
      </c>
      <c r="T43" s="13">
        <f t="shared" si="7"/>
        <v>0</v>
      </c>
      <c r="U43" s="13">
        <f t="shared" si="8"/>
        <v>0</v>
      </c>
      <c r="V43" s="13">
        <f t="shared" si="9"/>
        <v>0</v>
      </c>
      <c r="W43" s="13">
        <f t="shared" si="10"/>
        <v>0</v>
      </c>
      <c r="X43" s="13">
        <f t="shared" si="11"/>
        <v>0</v>
      </c>
      <c r="Y43" s="8"/>
      <c r="Z43" s="6">
        <f t="shared" si="12"/>
        <v>0</v>
      </c>
      <c r="AA43" s="6">
        <f t="shared" si="13"/>
        <v>0</v>
      </c>
      <c r="AB43" s="6">
        <f t="shared" si="14"/>
        <v>0</v>
      </c>
      <c r="AD43" s="13">
        <v>21</v>
      </c>
      <c r="AE43" s="13">
        <f>G43*0</f>
        <v>0</v>
      </c>
      <c r="AF43" s="13">
        <f>G43*(1-0)</f>
        <v>0</v>
      </c>
      <c r="AG43" s="11" t="s">
        <v>6</v>
      </c>
      <c r="AM43" s="13">
        <f t="shared" si="15"/>
        <v>0</v>
      </c>
      <c r="AN43" s="13">
        <f t="shared" si="16"/>
        <v>0</v>
      </c>
      <c r="AO43" s="14" t="s">
        <v>159</v>
      </c>
      <c r="AP43" s="14" t="s">
        <v>167</v>
      </c>
      <c r="AQ43" s="8" t="s">
        <v>168</v>
      </c>
      <c r="AS43" s="13">
        <f t="shared" si="17"/>
        <v>0</v>
      </c>
      <c r="AT43" s="13">
        <f t="shared" si="18"/>
        <v>0</v>
      </c>
      <c r="AU43" s="13">
        <v>0</v>
      </c>
      <c r="AV43" s="13">
        <f t="shared" si="19"/>
        <v>10.054633200000001</v>
      </c>
    </row>
    <row r="44" spans="1:48" x14ac:dyDescent="0.2">
      <c r="A44" s="58" t="s">
        <v>24</v>
      </c>
      <c r="B44" s="59"/>
      <c r="C44" s="59" t="s">
        <v>60</v>
      </c>
      <c r="D44" s="59" t="s">
        <v>108</v>
      </c>
      <c r="E44" s="59" t="s">
        <v>129</v>
      </c>
      <c r="F44" s="6">
        <v>1.0287500000000001</v>
      </c>
      <c r="G44" s="68"/>
      <c r="H44" s="6">
        <f t="shared" si="0"/>
        <v>0</v>
      </c>
      <c r="I44" s="6">
        <f t="shared" si="1"/>
        <v>0</v>
      </c>
      <c r="J44" s="6">
        <f t="shared" si="2"/>
        <v>0</v>
      </c>
      <c r="K44" s="6">
        <v>2.20147</v>
      </c>
      <c r="L44" s="60">
        <f t="shared" si="3"/>
        <v>2.2647622625000001</v>
      </c>
      <c r="P44" s="13">
        <f t="shared" si="4"/>
        <v>0</v>
      </c>
      <c r="R44" s="13">
        <f t="shared" si="5"/>
        <v>0</v>
      </c>
      <c r="S44" s="13">
        <f t="shared" si="6"/>
        <v>0</v>
      </c>
      <c r="T44" s="13">
        <f t="shared" si="7"/>
        <v>0</v>
      </c>
      <c r="U44" s="13">
        <f t="shared" si="8"/>
        <v>0</v>
      </c>
      <c r="V44" s="13">
        <f t="shared" si="9"/>
        <v>0</v>
      </c>
      <c r="W44" s="13">
        <f t="shared" si="10"/>
        <v>0</v>
      </c>
      <c r="X44" s="13">
        <f t="shared" si="11"/>
        <v>0</v>
      </c>
      <c r="Y44" s="8"/>
      <c r="Z44" s="6">
        <f t="shared" si="12"/>
        <v>0</v>
      </c>
      <c r="AA44" s="6">
        <f t="shared" si="13"/>
        <v>0</v>
      </c>
      <c r="AB44" s="6">
        <f t="shared" si="14"/>
        <v>0</v>
      </c>
      <c r="AD44" s="13">
        <v>21</v>
      </c>
      <c r="AE44" s="13">
        <f>G44*0.0160321928644532</f>
        <v>0</v>
      </c>
      <c r="AF44" s="13">
        <f>G44*(1-0.0160321928644532)</f>
        <v>0</v>
      </c>
      <c r="AG44" s="11" t="s">
        <v>6</v>
      </c>
      <c r="AM44" s="13">
        <f t="shared" si="15"/>
        <v>0</v>
      </c>
      <c r="AN44" s="13">
        <f t="shared" si="16"/>
        <v>0</v>
      </c>
      <c r="AO44" s="14" t="s">
        <v>159</v>
      </c>
      <c r="AP44" s="14" t="s">
        <v>167</v>
      </c>
      <c r="AQ44" s="8" t="s">
        <v>168</v>
      </c>
      <c r="AS44" s="13">
        <f t="shared" si="17"/>
        <v>0</v>
      </c>
      <c r="AT44" s="13">
        <f t="shared" si="18"/>
        <v>0</v>
      </c>
      <c r="AU44" s="13">
        <v>0</v>
      </c>
      <c r="AV44" s="13">
        <f t="shared" si="19"/>
        <v>2.2647622625000001</v>
      </c>
    </row>
    <row r="45" spans="1:48" x14ac:dyDescent="0.2">
      <c r="A45" s="58" t="s">
        <v>25</v>
      </c>
      <c r="B45" s="59"/>
      <c r="C45" s="59" t="s">
        <v>61</v>
      </c>
      <c r="D45" s="59" t="s">
        <v>109</v>
      </c>
      <c r="E45" s="59" t="s">
        <v>127</v>
      </c>
      <c r="F45" s="6">
        <v>15</v>
      </c>
      <c r="G45" s="68"/>
      <c r="H45" s="6">
        <f t="shared" si="0"/>
        <v>0</v>
      </c>
      <c r="I45" s="6">
        <f t="shared" si="1"/>
        <v>0</v>
      </c>
      <c r="J45" s="6">
        <f t="shared" si="2"/>
        <v>0</v>
      </c>
      <c r="K45" s="6">
        <v>6.7000000000000002E-4</v>
      </c>
      <c r="L45" s="60">
        <f t="shared" si="3"/>
        <v>1.005E-2</v>
      </c>
      <c r="P45" s="13">
        <f t="shared" si="4"/>
        <v>0</v>
      </c>
      <c r="R45" s="13">
        <f t="shared" si="5"/>
        <v>0</v>
      </c>
      <c r="S45" s="13">
        <f t="shared" si="6"/>
        <v>0</v>
      </c>
      <c r="T45" s="13">
        <f t="shared" si="7"/>
        <v>0</v>
      </c>
      <c r="U45" s="13">
        <f t="shared" si="8"/>
        <v>0</v>
      </c>
      <c r="V45" s="13">
        <f t="shared" si="9"/>
        <v>0</v>
      </c>
      <c r="W45" s="13">
        <f t="shared" si="10"/>
        <v>0</v>
      </c>
      <c r="X45" s="13">
        <f t="shared" si="11"/>
        <v>0</v>
      </c>
      <c r="Y45" s="8"/>
      <c r="Z45" s="6">
        <f t="shared" si="12"/>
        <v>0</v>
      </c>
      <c r="AA45" s="6">
        <f t="shared" si="13"/>
        <v>0</v>
      </c>
      <c r="AB45" s="6">
        <f t="shared" si="14"/>
        <v>0</v>
      </c>
      <c r="AD45" s="13">
        <v>21</v>
      </c>
      <c r="AE45" s="13">
        <f>G45*0.115620437956204</f>
        <v>0</v>
      </c>
      <c r="AF45" s="13">
        <f>G45*(1-0.115620437956204)</f>
        <v>0</v>
      </c>
      <c r="AG45" s="11" t="s">
        <v>6</v>
      </c>
      <c r="AM45" s="13">
        <f t="shared" si="15"/>
        <v>0</v>
      </c>
      <c r="AN45" s="13">
        <f t="shared" si="16"/>
        <v>0</v>
      </c>
      <c r="AO45" s="14" t="s">
        <v>159</v>
      </c>
      <c r="AP45" s="14" t="s">
        <v>167</v>
      </c>
      <c r="AQ45" s="8" t="s">
        <v>168</v>
      </c>
      <c r="AS45" s="13">
        <f t="shared" si="17"/>
        <v>0</v>
      </c>
      <c r="AT45" s="13">
        <f t="shared" si="18"/>
        <v>0</v>
      </c>
      <c r="AU45" s="13">
        <v>0</v>
      </c>
      <c r="AV45" s="13">
        <f t="shared" si="19"/>
        <v>1.005E-2</v>
      </c>
    </row>
    <row r="46" spans="1:48" x14ac:dyDescent="0.2">
      <c r="A46" s="58" t="s">
        <v>26</v>
      </c>
      <c r="B46" s="59"/>
      <c r="C46" s="59" t="s">
        <v>62</v>
      </c>
      <c r="D46" s="59" t="s">
        <v>110</v>
      </c>
      <c r="E46" s="59" t="s">
        <v>127</v>
      </c>
      <c r="F46" s="6">
        <v>12.016999999999999</v>
      </c>
      <c r="G46" s="68"/>
      <c r="H46" s="6">
        <f t="shared" si="0"/>
        <v>0</v>
      </c>
      <c r="I46" s="6">
        <f t="shared" si="1"/>
        <v>0</v>
      </c>
      <c r="J46" s="6">
        <f t="shared" si="2"/>
        <v>0</v>
      </c>
      <c r="K46" s="6">
        <v>7.7170000000000002E-2</v>
      </c>
      <c r="L46" s="60">
        <f t="shared" si="3"/>
        <v>0.92735188999999996</v>
      </c>
      <c r="P46" s="13">
        <f t="shared" si="4"/>
        <v>0</v>
      </c>
      <c r="R46" s="13">
        <f t="shared" si="5"/>
        <v>0</v>
      </c>
      <c r="S46" s="13">
        <f t="shared" si="6"/>
        <v>0</v>
      </c>
      <c r="T46" s="13">
        <f t="shared" si="7"/>
        <v>0</v>
      </c>
      <c r="U46" s="13">
        <f t="shared" si="8"/>
        <v>0</v>
      </c>
      <c r="V46" s="13">
        <f t="shared" si="9"/>
        <v>0</v>
      </c>
      <c r="W46" s="13">
        <f t="shared" si="10"/>
        <v>0</v>
      </c>
      <c r="X46" s="13">
        <f t="shared" si="11"/>
        <v>0</v>
      </c>
      <c r="Y46" s="8"/>
      <c r="Z46" s="6">
        <f t="shared" si="12"/>
        <v>0</v>
      </c>
      <c r="AA46" s="6">
        <f t="shared" si="13"/>
        <v>0</v>
      </c>
      <c r="AB46" s="6">
        <f t="shared" si="14"/>
        <v>0</v>
      </c>
      <c r="AD46" s="13">
        <v>21</v>
      </c>
      <c r="AE46" s="13">
        <f>G46*0.0910101514146172</f>
        <v>0</v>
      </c>
      <c r="AF46" s="13">
        <f>G46*(1-0.0910101514146172)</f>
        <v>0</v>
      </c>
      <c r="AG46" s="11" t="s">
        <v>6</v>
      </c>
      <c r="AM46" s="13">
        <f t="shared" si="15"/>
        <v>0</v>
      </c>
      <c r="AN46" s="13">
        <f t="shared" si="16"/>
        <v>0</v>
      </c>
      <c r="AO46" s="14" t="s">
        <v>159</v>
      </c>
      <c r="AP46" s="14" t="s">
        <v>167</v>
      </c>
      <c r="AQ46" s="8" t="s">
        <v>168</v>
      </c>
      <c r="AS46" s="13">
        <f t="shared" si="17"/>
        <v>0</v>
      </c>
      <c r="AT46" s="13">
        <f t="shared" si="18"/>
        <v>0</v>
      </c>
      <c r="AU46" s="13">
        <v>0</v>
      </c>
      <c r="AV46" s="13">
        <f t="shared" si="19"/>
        <v>0.92735188999999996</v>
      </c>
    </row>
    <row r="47" spans="1:48" x14ac:dyDescent="0.2">
      <c r="A47" s="63"/>
      <c r="B47" s="42"/>
      <c r="C47" s="42" t="s">
        <v>221</v>
      </c>
      <c r="D47" s="42" t="s">
        <v>222</v>
      </c>
      <c r="E47" s="63" t="s">
        <v>5</v>
      </c>
      <c r="F47" s="63" t="s">
        <v>5</v>
      </c>
      <c r="G47" s="63" t="s">
        <v>5</v>
      </c>
      <c r="H47" s="15">
        <f>SUM(H48:H48)</f>
        <v>0</v>
      </c>
      <c r="I47" s="15">
        <f>SUM(I48:I48)</f>
        <v>0</v>
      </c>
      <c r="J47" s="15">
        <f>H47+I47</f>
        <v>0</v>
      </c>
      <c r="K47" s="8"/>
      <c r="L47" s="15">
        <f>SUM(L48:L48)</f>
        <v>0.33274999999999999</v>
      </c>
      <c r="M47" s="67"/>
      <c r="Y47" s="8"/>
      <c r="AI47" s="15">
        <f>SUM(Z48:Z48)</f>
        <v>0</v>
      </c>
      <c r="AJ47" s="15">
        <f>SUM(AA48:AA48)</f>
        <v>0</v>
      </c>
      <c r="AK47" s="15">
        <f>SUM(AB48:AB48)</f>
        <v>0</v>
      </c>
    </row>
    <row r="48" spans="1:48" x14ac:dyDescent="0.2">
      <c r="A48" s="59" t="s">
        <v>223</v>
      </c>
      <c r="B48" s="59"/>
      <c r="C48" s="59" t="s">
        <v>224</v>
      </c>
      <c r="D48" s="59" t="s">
        <v>225</v>
      </c>
      <c r="E48" s="59" t="s">
        <v>127</v>
      </c>
      <c r="F48" s="6">
        <v>275</v>
      </c>
      <c r="G48" s="68"/>
      <c r="H48" s="6">
        <f>F48*AE48</f>
        <v>0</v>
      </c>
      <c r="I48" s="6">
        <f>J48-H48</f>
        <v>0</v>
      </c>
      <c r="J48" s="6">
        <f>F48*G48</f>
        <v>0</v>
      </c>
      <c r="K48" s="6">
        <v>1.2099999999999999E-3</v>
      </c>
      <c r="L48" s="6">
        <f>F48*K48</f>
        <v>0.33274999999999999</v>
      </c>
      <c r="M48" s="11"/>
      <c r="P48" s="13">
        <f>IF(AG48="5",J48,0)</f>
        <v>0</v>
      </c>
      <c r="R48" s="13">
        <f>IF(AG48="1",H48,0)</f>
        <v>0</v>
      </c>
      <c r="S48" s="13">
        <f>IF(AG48="1",I48,0)</f>
        <v>0</v>
      </c>
      <c r="T48" s="13">
        <f>IF(AG48="7",H48,0)</f>
        <v>0</v>
      </c>
      <c r="U48" s="13">
        <f>IF(AG48="7",I48,0)</f>
        <v>0</v>
      </c>
      <c r="V48" s="13">
        <f>IF(AG48="2",H48,0)</f>
        <v>0</v>
      </c>
      <c r="W48" s="13">
        <f>IF(AG48="2",I48,0)</f>
        <v>0</v>
      </c>
      <c r="X48" s="13">
        <f>IF(AG48="0",J48,0)</f>
        <v>0</v>
      </c>
      <c r="Y48" s="8"/>
      <c r="Z48" s="6">
        <f>IF(AD48=0,J48,0)</f>
        <v>0</v>
      </c>
      <c r="AA48" s="6">
        <f>IF(AD48=15,J48,0)</f>
        <v>0</v>
      </c>
      <c r="AB48" s="6">
        <f>IF(AD48=21,J48,0)</f>
        <v>0</v>
      </c>
      <c r="AD48" s="13">
        <v>21</v>
      </c>
      <c r="AE48" s="13">
        <f>G48*0.377163745833781</f>
        <v>0</v>
      </c>
      <c r="AF48" s="13">
        <f>G48*(1-0.377163745833781)</f>
        <v>0</v>
      </c>
      <c r="AG48" s="11" t="s">
        <v>6</v>
      </c>
      <c r="AM48" s="13">
        <f>F48*AE48</f>
        <v>0</v>
      </c>
      <c r="AN48" s="13">
        <f>F48*AF48</f>
        <v>0</v>
      </c>
      <c r="AO48" s="14" t="s">
        <v>226</v>
      </c>
      <c r="AP48" s="14" t="s">
        <v>167</v>
      </c>
      <c r="AQ48" s="8" t="s">
        <v>168</v>
      </c>
      <c r="AS48" s="13">
        <f>AM48+AN48</f>
        <v>0</v>
      </c>
      <c r="AT48" s="13">
        <f>G48/(100-AU48)*100</f>
        <v>0</v>
      </c>
      <c r="AU48" s="13">
        <v>0</v>
      </c>
      <c r="AV48" s="13">
        <f>L48</f>
        <v>0.33274999999999999</v>
      </c>
    </row>
    <row r="49" spans="1:48" x14ac:dyDescent="0.2">
      <c r="A49" s="62"/>
      <c r="B49" s="42"/>
      <c r="C49" s="42" t="s">
        <v>63</v>
      </c>
      <c r="D49" s="42" t="s">
        <v>111</v>
      </c>
      <c r="E49" s="63" t="s">
        <v>5</v>
      </c>
      <c r="F49" s="63" t="s">
        <v>5</v>
      </c>
      <c r="G49" s="63" t="s">
        <v>5</v>
      </c>
      <c r="H49" s="15">
        <f>SUM(H50:H52)</f>
        <v>0</v>
      </c>
      <c r="I49" s="15">
        <f>SUM(I50:I52)</f>
        <v>0</v>
      </c>
      <c r="J49" s="15">
        <f>H49+I49</f>
        <v>0</v>
      </c>
      <c r="K49" s="8"/>
      <c r="L49" s="64">
        <f>SUM(L50:L52)</f>
        <v>3.4648370000000002</v>
      </c>
      <c r="Y49" s="8"/>
      <c r="AI49" s="15">
        <f>SUM(Z50:Z52)</f>
        <v>0</v>
      </c>
      <c r="AJ49" s="15">
        <f>SUM(AA50:AA52)</f>
        <v>0</v>
      </c>
      <c r="AK49" s="15">
        <f>SUM(AB50:AB52)</f>
        <v>0</v>
      </c>
    </row>
    <row r="50" spans="1:48" x14ac:dyDescent="0.2">
      <c r="A50" s="58" t="s">
        <v>27</v>
      </c>
      <c r="B50" s="59"/>
      <c r="C50" s="59" t="s">
        <v>64</v>
      </c>
      <c r="D50" s="59" t="s">
        <v>112</v>
      </c>
      <c r="E50" s="59" t="s">
        <v>130</v>
      </c>
      <c r="F50" s="6">
        <v>12</v>
      </c>
      <c r="G50" s="68"/>
      <c r="H50" s="6">
        <f>F50*AE50</f>
        <v>0</v>
      </c>
      <c r="I50" s="6">
        <f>J50-H50</f>
        <v>0</v>
      </c>
      <c r="J50" s="6">
        <f>F50*G50</f>
        <v>0</v>
      </c>
      <c r="K50" s="6">
        <v>9.7909999999999997E-2</v>
      </c>
      <c r="L50" s="60">
        <f>F50*K50</f>
        <v>1.17492</v>
      </c>
      <c r="P50" s="13">
        <f>IF(AG50="5",J50,0)</f>
        <v>0</v>
      </c>
      <c r="R50" s="13">
        <f>IF(AG50="1",H50,0)</f>
        <v>0</v>
      </c>
      <c r="S50" s="13">
        <f>IF(AG50="1",I50,0)</f>
        <v>0</v>
      </c>
      <c r="T50" s="13">
        <f>IF(AG50="7",H50,0)</f>
        <v>0</v>
      </c>
      <c r="U50" s="13">
        <f>IF(AG50="7",I50,0)</f>
        <v>0</v>
      </c>
      <c r="V50" s="13">
        <f>IF(AG50="2",H50,0)</f>
        <v>0</v>
      </c>
      <c r="W50" s="13">
        <f>IF(AG50="2",I50,0)</f>
        <v>0</v>
      </c>
      <c r="X50" s="13">
        <f>IF(AG50="0",J50,0)</f>
        <v>0</v>
      </c>
      <c r="Y50" s="8"/>
      <c r="Z50" s="6">
        <f>IF(AD50=0,J50,0)</f>
        <v>0</v>
      </c>
      <c r="AA50" s="6">
        <f>IF(AD50=15,J50,0)</f>
        <v>0</v>
      </c>
      <c r="AB50" s="6">
        <f>IF(AD50=21,J50,0)</f>
        <v>0</v>
      </c>
      <c r="AD50" s="13">
        <v>21</v>
      </c>
      <c r="AE50" s="13">
        <f>G50*0.0635935198821797</f>
        <v>0</v>
      </c>
      <c r="AF50" s="13">
        <f>G50*(1-0.0635935198821797)</f>
        <v>0</v>
      </c>
      <c r="AG50" s="11" t="s">
        <v>6</v>
      </c>
      <c r="AM50" s="13">
        <f>F50*AE50</f>
        <v>0</v>
      </c>
      <c r="AN50" s="13">
        <f>F50*AF50</f>
        <v>0</v>
      </c>
      <c r="AO50" s="14" t="s">
        <v>160</v>
      </c>
      <c r="AP50" s="14" t="s">
        <v>167</v>
      </c>
      <c r="AQ50" s="8" t="s">
        <v>168</v>
      </c>
      <c r="AS50" s="13">
        <f>AM50+AN50</f>
        <v>0</v>
      </c>
      <c r="AT50" s="13">
        <f>G50/(100-AU50)*100</f>
        <v>0</v>
      </c>
      <c r="AU50" s="13">
        <v>0</v>
      </c>
      <c r="AV50" s="13">
        <f>L50</f>
        <v>1.17492</v>
      </c>
    </row>
    <row r="51" spans="1:48" x14ac:dyDescent="0.2">
      <c r="A51" s="1"/>
      <c r="D51" s="61" t="s">
        <v>113</v>
      </c>
      <c r="L51" s="10"/>
    </row>
    <row r="52" spans="1:48" x14ac:dyDescent="0.2">
      <c r="A52" s="58" t="s">
        <v>28</v>
      </c>
      <c r="B52" s="59"/>
      <c r="C52" s="59" t="s">
        <v>65</v>
      </c>
      <c r="D52" s="59" t="s">
        <v>114</v>
      </c>
      <c r="E52" s="59" t="s">
        <v>131</v>
      </c>
      <c r="F52" s="6">
        <v>83.3</v>
      </c>
      <c r="G52" s="68"/>
      <c r="H52" s="6">
        <f>F52*AE52</f>
        <v>0</v>
      </c>
      <c r="I52" s="6">
        <f>J52-H52</f>
        <v>0</v>
      </c>
      <c r="J52" s="6">
        <f>F52*G52</f>
        <v>0</v>
      </c>
      <c r="K52" s="6">
        <v>2.7490000000000001E-2</v>
      </c>
      <c r="L52" s="60">
        <f>F52*K52</f>
        <v>2.289917</v>
      </c>
      <c r="P52" s="13">
        <f>IF(AG52="5",J52,0)</f>
        <v>0</v>
      </c>
      <c r="R52" s="13">
        <f>IF(AG52="1",H52,0)</f>
        <v>0</v>
      </c>
      <c r="S52" s="13">
        <f>IF(AG52="1",I52,0)</f>
        <v>0</v>
      </c>
      <c r="T52" s="13">
        <f>IF(AG52="7",H52,0)</f>
        <v>0</v>
      </c>
      <c r="U52" s="13">
        <f>IF(AG52="7",I52,0)</f>
        <v>0</v>
      </c>
      <c r="V52" s="13">
        <f>IF(AG52="2",H52,0)</f>
        <v>0</v>
      </c>
      <c r="W52" s="13">
        <f>IF(AG52="2",I52,0)</f>
        <v>0</v>
      </c>
      <c r="X52" s="13">
        <f>IF(AG52="0",J52,0)</f>
        <v>0</v>
      </c>
      <c r="Y52" s="8"/>
      <c r="Z52" s="6">
        <f>IF(AD52=0,J52,0)</f>
        <v>0</v>
      </c>
      <c r="AA52" s="6">
        <f>IF(AD52=15,J52,0)</f>
        <v>0</v>
      </c>
      <c r="AB52" s="6">
        <f>IF(AD52=21,J52,0)</f>
        <v>0</v>
      </c>
      <c r="AD52" s="13">
        <v>21</v>
      </c>
      <c r="AE52" s="13">
        <f>G52*0.0924901185770751</f>
        <v>0</v>
      </c>
      <c r="AF52" s="13">
        <f>G52*(1-0.0924901185770751)</f>
        <v>0</v>
      </c>
      <c r="AG52" s="11" t="s">
        <v>6</v>
      </c>
      <c r="AM52" s="13">
        <f>F52*AE52</f>
        <v>0</v>
      </c>
      <c r="AN52" s="13">
        <f>F52*AF52</f>
        <v>0</v>
      </c>
      <c r="AO52" s="14" t="s">
        <v>160</v>
      </c>
      <c r="AP52" s="14" t="s">
        <v>167</v>
      </c>
      <c r="AQ52" s="8" t="s">
        <v>168</v>
      </c>
      <c r="AS52" s="13">
        <f>AM52+AN52</f>
        <v>0</v>
      </c>
      <c r="AT52" s="13">
        <f>G52/(100-AU52)*100</f>
        <v>0</v>
      </c>
      <c r="AU52" s="13">
        <v>0</v>
      </c>
      <c r="AV52" s="13">
        <f>L52</f>
        <v>2.289917</v>
      </c>
    </row>
    <row r="53" spans="1:48" x14ac:dyDescent="0.2">
      <c r="A53" s="1"/>
      <c r="D53" s="61" t="s">
        <v>115</v>
      </c>
      <c r="L53" s="10"/>
    </row>
    <row r="54" spans="1:48" x14ac:dyDescent="0.2">
      <c r="A54" s="62"/>
      <c r="B54" s="42"/>
      <c r="C54" s="42" t="s">
        <v>66</v>
      </c>
      <c r="D54" s="42" t="s">
        <v>116</v>
      </c>
      <c r="E54" s="63" t="s">
        <v>5</v>
      </c>
      <c r="F54" s="63" t="s">
        <v>5</v>
      </c>
      <c r="G54" s="63" t="s">
        <v>5</v>
      </c>
      <c r="H54" s="15">
        <f>SUM(H55:H55)</f>
        <v>0</v>
      </c>
      <c r="I54" s="15">
        <f>SUM(I55:I55)</f>
        <v>0</v>
      </c>
      <c r="J54" s="15">
        <f>H54+I54</f>
        <v>0</v>
      </c>
      <c r="K54" s="8"/>
      <c r="L54" s="64">
        <f>SUM(L55:L55)</f>
        <v>0</v>
      </c>
      <c r="Y54" s="8"/>
      <c r="AI54" s="15">
        <f>SUM(Z55:Z55)</f>
        <v>0</v>
      </c>
      <c r="AJ54" s="15">
        <f>SUM(AA55:AA55)</f>
        <v>0</v>
      </c>
      <c r="AK54" s="15">
        <f>SUM(AB55:AB55)</f>
        <v>0</v>
      </c>
    </row>
    <row r="55" spans="1:48" x14ac:dyDescent="0.2">
      <c r="A55" s="58" t="s">
        <v>29</v>
      </c>
      <c r="B55" s="59"/>
      <c r="C55" s="59" t="s">
        <v>67</v>
      </c>
      <c r="D55" s="59" t="s">
        <v>117</v>
      </c>
      <c r="E55" s="59" t="s">
        <v>128</v>
      </c>
      <c r="F55" s="6">
        <v>95</v>
      </c>
      <c r="G55" s="68"/>
      <c r="H55" s="6">
        <f>F55*AE55</f>
        <v>0</v>
      </c>
      <c r="I55" s="6">
        <f>J55-H55</f>
        <v>0</v>
      </c>
      <c r="J55" s="6">
        <f>F55*G55</f>
        <v>0</v>
      </c>
      <c r="K55" s="6">
        <v>0</v>
      </c>
      <c r="L55" s="60">
        <f>F55*K55</f>
        <v>0</v>
      </c>
      <c r="P55" s="13">
        <f>IF(AG55="5",J55,0)</f>
        <v>0</v>
      </c>
      <c r="R55" s="13">
        <f>IF(AG55="1",H55,0)</f>
        <v>0</v>
      </c>
      <c r="S55" s="13">
        <f>IF(AG55="1",I55,0)</f>
        <v>0</v>
      </c>
      <c r="T55" s="13">
        <f>IF(AG55="7",H55,0)</f>
        <v>0</v>
      </c>
      <c r="U55" s="13">
        <f>IF(AG55="7",I55,0)</f>
        <v>0</v>
      </c>
      <c r="V55" s="13">
        <f>IF(AG55="2",H55,0)</f>
        <v>0</v>
      </c>
      <c r="W55" s="13">
        <f>IF(AG55="2",I55,0)</f>
        <v>0</v>
      </c>
      <c r="X55" s="13">
        <f>IF(AG55="0",J55,0)</f>
        <v>0</v>
      </c>
      <c r="Y55" s="8"/>
      <c r="Z55" s="6">
        <f>IF(AD55=0,J55,0)</f>
        <v>0</v>
      </c>
      <c r="AA55" s="6">
        <f>IF(AD55=15,J55,0)</f>
        <v>0</v>
      </c>
      <c r="AB55" s="6">
        <f>IF(AD55=21,J55,0)</f>
        <v>0</v>
      </c>
      <c r="AD55" s="13">
        <v>21</v>
      </c>
      <c r="AE55" s="13">
        <f>G55*0</f>
        <v>0</v>
      </c>
      <c r="AF55" s="13">
        <f>G55*(1-0)</f>
        <v>0</v>
      </c>
      <c r="AG55" s="11" t="s">
        <v>10</v>
      </c>
      <c r="AM55" s="13">
        <f>F55*AE55</f>
        <v>0</v>
      </c>
      <c r="AN55" s="13">
        <f>F55*AF55</f>
        <v>0</v>
      </c>
      <c r="AO55" s="14" t="s">
        <v>161</v>
      </c>
      <c r="AP55" s="14" t="s">
        <v>167</v>
      </c>
      <c r="AQ55" s="8" t="s">
        <v>168</v>
      </c>
      <c r="AS55" s="13">
        <f>AM55+AN55</f>
        <v>0</v>
      </c>
      <c r="AT55" s="13">
        <f>G55/(100-AU55)*100</f>
        <v>0</v>
      </c>
      <c r="AU55" s="13">
        <v>0</v>
      </c>
      <c r="AV55" s="13">
        <f>L55</f>
        <v>0</v>
      </c>
    </row>
    <row r="56" spans="1:48" x14ac:dyDescent="0.2">
      <c r="A56" s="62"/>
      <c r="B56" s="42"/>
      <c r="C56" s="42" t="s">
        <v>68</v>
      </c>
      <c r="D56" s="42" t="s">
        <v>118</v>
      </c>
      <c r="E56" s="63" t="s">
        <v>5</v>
      </c>
      <c r="F56" s="63" t="s">
        <v>5</v>
      </c>
      <c r="G56" s="63" t="s">
        <v>5</v>
      </c>
      <c r="H56" s="15">
        <f>SUM(H57:H59)</f>
        <v>0</v>
      </c>
      <c r="I56" s="15">
        <f>SUM(I57:I59)</f>
        <v>0</v>
      </c>
      <c r="J56" s="15">
        <f>H56+I56</f>
        <v>0</v>
      </c>
      <c r="K56" s="8"/>
      <c r="L56" s="64">
        <f>SUM(L57:L59)</f>
        <v>0</v>
      </c>
      <c r="Y56" s="8"/>
      <c r="AI56" s="15">
        <f>SUM(Z57:Z59)</f>
        <v>0</v>
      </c>
      <c r="AJ56" s="15">
        <f>SUM(AA57:AA59)</f>
        <v>0</v>
      </c>
      <c r="AK56" s="15">
        <f>SUM(AB57:AB59)</f>
        <v>0</v>
      </c>
    </row>
    <row r="57" spans="1:48" x14ac:dyDescent="0.2">
      <c r="A57" s="58" t="s">
        <v>30</v>
      </c>
      <c r="B57" s="59"/>
      <c r="C57" s="59" t="s">
        <v>69</v>
      </c>
      <c r="D57" s="59" t="s">
        <v>119</v>
      </c>
      <c r="E57" s="59" t="s">
        <v>128</v>
      </c>
      <c r="F57" s="6">
        <v>175</v>
      </c>
      <c r="G57" s="68"/>
      <c r="H57" s="6">
        <f>F57*AE57</f>
        <v>0</v>
      </c>
      <c r="I57" s="6">
        <f>J57-H57</f>
        <v>0</v>
      </c>
      <c r="J57" s="6">
        <f>F57*G57</f>
        <v>0</v>
      </c>
      <c r="K57" s="6">
        <v>0</v>
      </c>
      <c r="L57" s="60">
        <f>F57*K57</f>
        <v>0</v>
      </c>
      <c r="P57" s="13">
        <f>IF(AG57="5",J57,0)</f>
        <v>0</v>
      </c>
      <c r="R57" s="13">
        <f>IF(AG57="1",H57,0)</f>
        <v>0</v>
      </c>
      <c r="S57" s="13">
        <f>IF(AG57="1",I57,0)</f>
        <v>0</v>
      </c>
      <c r="T57" s="13">
        <f>IF(AG57="7",H57,0)</f>
        <v>0</v>
      </c>
      <c r="U57" s="13">
        <f>IF(AG57="7",I57,0)</f>
        <v>0</v>
      </c>
      <c r="V57" s="13">
        <f>IF(AG57="2",H57,0)</f>
        <v>0</v>
      </c>
      <c r="W57" s="13">
        <f>IF(AG57="2",I57,0)</f>
        <v>0</v>
      </c>
      <c r="X57" s="13">
        <f>IF(AG57="0",J57,0)</f>
        <v>0</v>
      </c>
      <c r="Y57" s="8"/>
      <c r="Z57" s="6">
        <f>IF(AD57=0,J57,0)</f>
        <v>0</v>
      </c>
      <c r="AA57" s="6">
        <f>IF(AD57=15,J57,0)</f>
        <v>0</v>
      </c>
      <c r="AB57" s="6">
        <f>IF(AD57=21,J57,0)</f>
        <v>0</v>
      </c>
      <c r="AD57" s="13">
        <v>21</v>
      </c>
      <c r="AE57" s="13">
        <f>G57*0</f>
        <v>0</v>
      </c>
      <c r="AF57" s="13">
        <f>G57*(1-0)</f>
        <v>0</v>
      </c>
      <c r="AG57" s="11" t="s">
        <v>10</v>
      </c>
      <c r="AM57" s="13">
        <f>F57*AE57</f>
        <v>0</v>
      </c>
      <c r="AN57" s="13">
        <f>F57*AF57</f>
        <v>0</v>
      </c>
      <c r="AO57" s="14" t="s">
        <v>162</v>
      </c>
      <c r="AP57" s="14" t="s">
        <v>167</v>
      </c>
      <c r="AQ57" s="8" t="s">
        <v>168</v>
      </c>
      <c r="AS57" s="13">
        <f>AM57+AN57</f>
        <v>0</v>
      </c>
      <c r="AT57" s="13">
        <f>G57/(100-AU57)*100</f>
        <v>0</v>
      </c>
      <c r="AU57" s="13">
        <v>0</v>
      </c>
      <c r="AV57" s="13">
        <f>L57</f>
        <v>0</v>
      </c>
    </row>
    <row r="58" spans="1:48" x14ac:dyDescent="0.2">
      <c r="A58" s="58" t="s">
        <v>31</v>
      </c>
      <c r="B58" s="59"/>
      <c r="C58" s="59" t="s">
        <v>70</v>
      </c>
      <c r="D58" s="59" t="s">
        <v>120</v>
      </c>
      <c r="E58" s="59" t="s">
        <v>128</v>
      </c>
      <c r="F58" s="6">
        <v>175</v>
      </c>
      <c r="G58" s="68"/>
      <c r="H58" s="6">
        <f>F58*AE58</f>
        <v>0</v>
      </c>
      <c r="I58" s="6">
        <f>J58-H58</f>
        <v>0</v>
      </c>
      <c r="J58" s="6">
        <f>F58*G58</f>
        <v>0</v>
      </c>
      <c r="K58" s="6">
        <v>0</v>
      </c>
      <c r="L58" s="60">
        <f>F58*K58</f>
        <v>0</v>
      </c>
      <c r="P58" s="13">
        <f>IF(AG58="5",J58,0)</f>
        <v>0</v>
      </c>
      <c r="R58" s="13">
        <f>IF(AG58="1",H58,0)</f>
        <v>0</v>
      </c>
      <c r="S58" s="13">
        <f>IF(AG58="1",I58,0)</f>
        <v>0</v>
      </c>
      <c r="T58" s="13">
        <f>IF(AG58="7",H58,0)</f>
        <v>0</v>
      </c>
      <c r="U58" s="13">
        <f>IF(AG58="7",I58,0)</f>
        <v>0</v>
      </c>
      <c r="V58" s="13">
        <f>IF(AG58="2",H58,0)</f>
        <v>0</v>
      </c>
      <c r="W58" s="13">
        <f>IF(AG58="2",I58,0)</f>
        <v>0</v>
      </c>
      <c r="X58" s="13">
        <f>IF(AG58="0",J58,0)</f>
        <v>0</v>
      </c>
      <c r="Y58" s="8"/>
      <c r="Z58" s="6">
        <f>IF(AD58=0,J58,0)</f>
        <v>0</v>
      </c>
      <c r="AA58" s="6">
        <f>IF(AD58=15,J58,0)</f>
        <v>0</v>
      </c>
      <c r="AB58" s="6">
        <f>IF(AD58=21,J58,0)</f>
        <v>0</v>
      </c>
      <c r="AD58" s="13">
        <v>21</v>
      </c>
      <c r="AE58" s="13">
        <f>G58*0</f>
        <v>0</v>
      </c>
      <c r="AF58" s="13">
        <f>G58*(1-0)</f>
        <v>0</v>
      </c>
      <c r="AG58" s="11" t="s">
        <v>10</v>
      </c>
      <c r="AM58" s="13">
        <f>F58*AE58</f>
        <v>0</v>
      </c>
      <c r="AN58" s="13">
        <f>F58*AF58</f>
        <v>0</v>
      </c>
      <c r="AO58" s="14" t="s">
        <v>162</v>
      </c>
      <c r="AP58" s="14" t="s">
        <v>167</v>
      </c>
      <c r="AQ58" s="8" t="s">
        <v>168</v>
      </c>
      <c r="AS58" s="13">
        <f>AM58+AN58</f>
        <v>0</v>
      </c>
      <c r="AT58" s="13">
        <f>G58/(100-AU58)*100</f>
        <v>0</v>
      </c>
      <c r="AU58" s="13">
        <v>0</v>
      </c>
      <c r="AV58" s="13">
        <f>L58</f>
        <v>0</v>
      </c>
    </row>
    <row r="59" spans="1:48" x14ac:dyDescent="0.2">
      <c r="A59" s="65" t="s">
        <v>32</v>
      </c>
      <c r="B59" s="2"/>
      <c r="C59" s="2" t="s">
        <v>71</v>
      </c>
      <c r="D59" s="2" t="s">
        <v>121</v>
      </c>
      <c r="E59" s="2" t="s">
        <v>128</v>
      </c>
      <c r="F59" s="7">
        <v>175</v>
      </c>
      <c r="G59" s="69"/>
      <c r="H59" s="7">
        <f>F59*AE59</f>
        <v>0</v>
      </c>
      <c r="I59" s="7">
        <f>J59-H59</f>
        <v>0</v>
      </c>
      <c r="J59" s="7">
        <f>F59*G59</f>
        <v>0</v>
      </c>
      <c r="K59" s="7">
        <v>0</v>
      </c>
      <c r="L59" s="66">
        <f>F59*K59</f>
        <v>0</v>
      </c>
      <c r="P59" s="13">
        <f>IF(AG59="5",J59,0)</f>
        <v>0</v>
      </c>
      <c r="R59" s="13">
        <f>IF(AG59="1",H59,0)</f>
        <v>0</v>
      </c>
      <c r="S59" s="13">
        <f>IF(AG59="1",I59,0)</f>
        <v>0</v>
      </c>
      <c r="T59" s="13">
        <f>IF(AG59="7",H59,0)</f>
        <v>0</v>
      </c>
      <c r="U59" s="13">
        <f>IF(AG59="7",I59,0)</f>
        <v>0</v>
      </c>
      <c r="V59" s="13">
        <f>IF(AG59="2",H59,0)</f>
        <v>0</v>
      </c>
      <c r="W59" s="13">
        <f>IF(AG59="2",I59,0)</f>
        <v>0</v>
      </c>
      <c r="X59" s="13">
        <f>IF(AG59="0",J59,0)</f>
        <v>0</v>
      </c>
      <c r="Y59" s="8"/>
      <c r="Z59" s="6">
        <f>IF(AD59=0,J59,0)</f>
        <v>0</v>
      </c>
      <c r="AA59" s="6">
        <f>IF(AD59=15,J59,0)</f>
        <v>0</v>
      </c>
      <c r="AB59" s="6">
        <f>IF(AD59=21,J59,0)</f>
        <v>0</v>
      </c>
      <c r="AD59" s="13">
        <v>21</v>
      </c>
      <c r="AE59" s="13">
        <f>G59*0</f>
        <v>0</v>
      </c>
      <c r="AF59" s="13">
        <f>G59*(1-0)</f>
        <v>0</v>
      </c>
      <c r="AG59" s="11" t="s">
        <v>10</v>
      </c>
      <c r="AM59" s="13">
        <f>F59*AE59</f>
        <v>0</v>
      </c>
      <c r="AN59" s="13">
        <f>F59*AF59</f>
        <v>0</v>
      </c>
      <c r="AO59" s="14" t="s">
        <v>162</v>
      </c>
      <c r="AP59" s="14" t="s">
        <v>167</v>
      </c>
      <c r="AQ59" s="8" t="s">
        <v>168</v>
      </c>
      <c r="AS59" s="13">
        <f>AM59+AN59</f>
        <v>0</v>
      </c>
      <c r="AT59" s="13">
        <f>G59/(100-AU59)*100</f>
        <v>0</v>
      </c>
      <c r="AU59" s="13">
        <v>0</v>
      </c>
      <c r="AV59" s="13">
        <f>L59</f>
        <v>0</v>
      </c>
    </row>
    <row r="60" spans="1:48" x14ac:dyDescent="0.2">
      <c r="A60" s="3"/>
      <c r="B60" s="3"/>
      <c r="C60" s="3"/>
      <c r="D60" s="3"/>
      <c r="E60" s="3"/>
      <c r="F60" s="3"/>
      <c r="G60" s="3"/>
      <c r="H60" s="118" t="s">
        <v>137</v>
      </c>
      <c r="I60" s="105"/>
      <c r="J60" s="16">
        <f>SUM(J56,J54,J49,J35,J31,J26,J18,J15,J12)</f>
        <v>0</v>
      </c>
      <c r="K60" s="3"/>
      <c r="L60" s="3"/>
    </row>
    <row r="61" spans="1:48" ht="11.25" customHeight="1" x14ac:dyDescent="0.2">
      <c r="A61" s="4" t="s">
        <v>36</v>
      </c>
    </row>
    <row r="62" spans="1:48" ht="25.7" customHeight="1" x14ac:dyDescent="0.2">
      <c r="A62" s="73" t="s">
        <v>37</v>
      </c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</row>
  </sheetData>
  <mergeCells count="25">
    <mergeCell ref="A1:L1"/>
    <mergeCell ref="A2:C3"/>
    <mergeCell ref="D2:D3"/>
    <mergeCell ref="E2:F3"/>
    <mergeCell ref="G2:H3"/>
    <mergeCell ref="I2:I3"/>
    <mergeCell ref="A6:C7"/>
    <mergeCell ref="D6:D7"/>
    <mergeCell ref="E6:F7"/>
    <mergeCell ref="G6:H7"/>
    <mergeCell ref="I6:I7"/>
    <mergeCell ref="A4:C5"/>
    <mergeCell ref="D4:D5"/>
    <mergeCell ref="E4:F5"/>
    <mergeCell ref="G4:H5"/>
    <mergeCell ref="I4:I5"/>
    <mergeCell ref="H10:J10"/>
    <mergeCell ref="K10:L10"/>
    <mergeCell ref="H60:I60"/>
    <mergeCell ref="A62:L62"/>
    <mergeCell ref="A8:C9"/>
    <mergeCell ref="D8:D9"/>
    <mergeCell ref="E8:F9"/>
    <mergeCell ref="G8:H9"/>
    <mergeCell ref="I8:I9"/>
  </mergeCells>
  <pageMargins left="0.39400000000000002" right="0.39400000000000002" top="0.59099999999999997" bottom="0.59099999999999997" header="0.5" footer="0.5"/>
  <pageSetup paperSize="0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Krycí list rozpočtu</vt:lpstr>
      <vt:lpstr>Rekapitulace</vt:lpstr>
      <vt:lpstr>Položkový rozpočet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Vratislav Ansorge</dc:creator>
  <cp:lastModifiedBy>Marek Ondřej</cp:lastModifiedBy>
  <dcterms:created xsi:type="dcterms:W3CDTF">2018-03-15T10:04:51Z</dcterms:created>
  <dcterms:modified xsi:type="dcterms:W3CDTF">2024-05-30T09:57:16Z</dcterms:modified>
</cp:coreProperties>
</file>